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35" windowWidth="14655" windowHeight="8415" activeTab="1"/>
  </bookViews>
  <sheets>
    <sheet name="INSTRUCTIONS" sheetId="1" r:id="rId1"/>
    <sheet name="Your Fee Schedule" sheetId="2" r:id="rId2"/>
  </sheets>
  <definedNames>
    <definedName name="_xlnm.Print_Area" localSheetId="0">'INSTRUCTIONS'!$A$1:$AH$92</definedName>
    <definedName name="_xlnm.Print_Area" localSheetId="1">'Your Fee Schedule'!$A$1:$AA$62</definedName>
  </definedNames>
  <calcPr fullCalcOnLoad="1"/>
</workbook>
</file>

<file path=xl/sharedStrings.xml><?xml version="1.0" encoding="utf-8"?>
<sst xmlns="http://schemas.openxmlformats.org/spreadsheetml/2006/main" count="894" uniqueCount="219">
  <si>
    <t>Active</t>
  </si>
  <si>
    <t>CODE</t>
  </si>
  <si>
    <t>Tx Fee</t>
  </si>
  <si>
    <t>IP</t>
  </si>
  <si>
    <t>1st</t>
  </si>
  <si>
    <t>2nd</t>
  </si>
  <si>
    <t>3rd</t>
  </si>
  <si>
    <t>MP</t>
  </si>
  <si>
    <t>mos</t>
  </si>
  <si>
    <t>C-12</t>
  </si>
  <si>
    <t>x</t>
  </si>
  <si>
    <t>+</t>
  </si>
  <si>
    <t>/</t>
  </si>
  <si>
    <t>C-18</t>
  </si>
  <si>
    <t>C-24</t>
  </si>
  <si>
    <t>C-30</t>
  </si>
  <si>
    <t>C-36</t>
  </si>
  <si>
    <t>A-12</t>
  </si>
  <si>
    <t>A-18</t>
  </si>
  <si>
    <t>A-24</t>
  </si>
  <si>
    <t>A-30</t>
  </si>
  <si>
    <t>A-36</t>
  </si>
  <si>
    <t>AXB-R</t>
  </si>
  <si>
    <t xml:space="preserve">  Adjunctive Tx Fees and Courtesies</t>
  </si>
  <si>
    <t xml:space="preserve"> T.M.D. Splint Tx</t>
  </si>
  <si>
    <t>INSTRUCTIONS</t>
  </si>
  <si>
    <t>Minimal Options</t>
  </si>
  <si>
    <t>Lower IP</t>
  </si>
  <si>
    <t>A &amp; B+</t>
  </si>
  <si>
    <t>1 - AVG IP</t>
  </si>
  <si>
    <t>2 - AVG IP, Spread-Out</t>
  </si>
  <si>
    <t>3 - AVG IP, Credit Card</t>
  </si>
  <si>
    <t>4 - AVG IP, Home Equity?</t>
  </si>
  <si>
    <t>5 - Pre-pay IP, future start</t>
  </si>
  <si>
    <t>B- &amp; C</t>
  </si>
  <si>
    <t>1 - High IP, Cash</t>
  </si>
  <si>
    <t>2 - High IP, Credit Card</t>
  </si>
  <si>
    <t>4 - Pre-pay IP, future start</t>
  </si>
  <si>
    <t>5 - Ortho Fee Plan (OFP)</t>
  </si>
  <si>
    <t>Other Options</t>
  </si>
  <si>
    <t>Higher IP</t>
  </si>
  <si>
    <t>A, B+, B-, C</t>
  </si>
  <si>
    <t>1 - Higher IP, Cash</t>
  </si>
  <si>
    <t>2 - Higher IP, Credit Card</t>
  </si>
  <si>
    <t>4 - PIF, Cash</t>
  </si>
  <si>
    <t>5 - PIF, Credit Card</t>
  </si>
  <si>
    <t>6 - PIF, Home Equity?</t>
  </si>
  <si>
    <t>3 - High IP, Home Equity?</t>
  </si>
  <si>
    <t>3 - Higher IP, Home Equity?</t>
  </si>
  <si>
    <t>FEE Multiplier:</t>
  </si>
  <si>
    <t>AVG IP</t>
  </si>
  <si>
    <t>High IP</t>
  </si>
  <si>
    <t>Spread-Out IP</t>
  </si>
  <si>
    <t>Full Payment Plans</t>
  </si>
  <si>
    <t xml:space="preserve">Mo    PMTS    </t>
  </si>
  <si>
    <t xml:space="preserve">Mo    PMTS  </t>
  </si>
  <si>
    <t>Cash or Check</t>
  </si>
  <si>
    <t>Save</t>
  </si>
  <si>
    <t>Credit Card</t>
  </si>
  <si>
    <t>C-15</t>
  </si>
  <si>
    <t>C-21</t>
  </si>
  <si>
    <t>C-27</t>
  </si>
  <si>
    <t>Cash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</si>
  <si>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</si>
  <si>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</si>
  <si>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</si>
  <si>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</si>
  <si>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</si>
  <si>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</si>
  <si>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</si>
  <si>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</si>
  <si>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</si>
  <si>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</si>
  <si>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PII-12</t>
  </si>
  <si>
    <t>PII-15</t>
  </si>
  <si>
    <t>PII-18</t>
  </si>
  <si>
    <t>PII-21</t>
  </si>
  <si>
    <t>PII-24</t>
  </si>
  <si>
    <t>A-15</t>
  </si>
  <si>
    <t>A-21</t>
  </si>
  <si>
    <t>A-27</t>
  </si>
  <si>
    <t>IP =</t>
  </si>
  <si>
    <t>MP =</t>
  </si>
  <si>
    <t>/mo for</t>
  </si>
  <si>
    <t>months</t>
  </si>
  <si>
    <t xml:space="preserve">New Splint = </t>
  </si>
  <si>
    <r>
      <t xml:space="preserve"> Active Transfer-In </t>
    </r>
    <r>
      <rPr>
        <b/>
        <i/>
        <sz val="9"/>
        <color indexed="8"/>
        <rFont val="Arial"/>
        <family val="2"/>
      </rPr>
      <t>Fee</t>
    </r>
  </si>
  <si>
    <t>/mo of Tx Left</t>
  </si>
  <si>
    <t xml:space="preserve"> /unit of Band/Bond Undone</t>
  </si>
  <si>
    <t>$450 Work-up fee</t>
  </si>
  <si>
    <r>
      <t xml:space="preserve"> Active Transfer-Out </t>
    </r>
    <r>
      <rPr>
        <b/>
        <i/>
        <sz val="9"/>
        <color indexed="8"/>
        <rFont val="Arial"/>
        <family val="2"/>
      </rPr>
      <t>Adjustment</t>
    </r>
  </si>
  <si>
    <t>-</t>
  </si>
  <si>
    <t>/unit of SOS/Failed Appts &gt;2 units each</t>
  </si>
  <si>
    <t xml:space="preserve"> Surgical Preparation</t>
  </si>
  <si>
    <t xml:space="preserve"> Ceramic or Gold Brackets</t>
  </si>
  <si>
    <t xml:space="preserve">  Ceramic Brackets  =  $15 /mo until Deband       Gold Brackets = $640 added to Initial Payment</t>
  </si>
  <si>
    <t xml:space="preserve">  MISC. FEES</t>
  </si>
  <si>
    <t>Tx</t>
  </si>
  <si>
    <t>Non-Referring PCD</t>
  </si>
  <si>
    <t>Religious,    Friends,       &amp; etc.</t>
  </si>
  <si>
    <t>Regular Patient Courtesies</t>
  </si>
  <si>
    <t>Ph-II Fee Courtesy = Included in Ph-II Fee</t>
  </si>
  <si>
    <t xml:space="preserve">  FEE</t>
  </si>
  <si>
    <t>&amp; Child of Team Member</t>
  </si>
  <si>
    <t>Type of Tx</t>
  </si>
  <si>
    <t>1st Member</t>
  </si>
  <si>
    <t>2nd Member</t>
  </si>
  <si>
    <t>3rd, etc. Family Member</t>
  </si>
  <si>
    <t xml:space="preserve">  COURTESY</t>
  </si>
  <si>
    <t>25% Adj of IP &amp; MP</t>
  </si>
  <si>
    <t>Full</t>
  </si>
  <si>
    <t>Full Tx</t>
  </si>
  <si>
    <t>None</t>
  </si>
  <si>
    <t>Child of Team Member</t>
  </si>
  <si>
    <t>15% Adj of IP &amp; MP</t>
  </si>
  <si>
    <t>Ph-I</t>
  </si>
  <si>
    <t>Ph-I Tx</t>
  </si>
  <si>
    <t>Lab Costs</t>
  </si>
  <si>
    <t>Determine and Edit Below</t>
  </si>
  <si>
    <t>Total Min per 24-mo Full-Start</t>
  </si>
  <si>
    <t>Calculation of your Fee Multiplier</t>
  </si>
  <si>
    <t>This sets the difference between 6, 12, etc. Tx Times</t>
  </si>
  <si>
    <t>Calculation of your Ph-II Fee</t>
  </si>
  <si>
    <t>For TMJ Fee Calculations</t>
  </si>
  <si>
    <t>TMJ Fee</t>
  </si>
  <si>
    <r>
      <t xml:space="preserve">Referring Dentist </t>
    </r>
    <r>
      <rPr>
        <b/>
        <i/>
        <sz val="10"/>
        <color indexed="8"/>
        <rFont val="Arial Narrow"/>
        <family val="2"/>
      </rPr>
      <t>Team Members</t>
    </r>
  </si>
  <si>
    <t>Dentist Team Member</t>
  </si>
  <si>
    <t>Includes all Exams, Recoirds, Active Tx, Debands, Retention visits, etc.</t>
  </si>
  <si>
    <r>
      <t xml:space="preserve">To Calculate Your Fee Schedule      </t>
    </r>
    <r>
      <rPr>
        <b/>
        <sz val="12"/>
        <rFont val="Arial"/>
        <family val="2"/>
      </rPr>
      <t xml:space="preserve">                                                                                   Enter </t>
    </r>
    <r>
      <rPr>
        <b/>
        <i/>
        <sz val="12"/>
        <color indexed="20"/>
        <rFont val="Arial"/>
        <family val="2"/>
      </rPr>
      <t>PURPLE</t>
    </r>
    <r>
      <rPr>
        <b/>
        <sz val="12"/>
        <rFont val="Arial"/>
        <family val="2"/>
      </rPr>
      <t xml:space="preserve"> Amounts Below</t>
    </r>
  </si>
  <si>
    <t>Enter above your Ph-II courtesy</t>
  </si>
  <si>
    <t>Treatment Mechanotherapy</t>
  </si>
  <si>
    <t>added to fee  (Add $20/mo to monthly fee and the balance to the IP)</t>
  </si>
  <si>
    <t>Surgical Add-on Fee</t>
  </si>
  <si>
    <t>Added to 24-mo Child Fee</t>
  </si>
  <si>
    <t>You Can Change this if you desire, but shouldn't</t>
  </si>
  <si>
    <t>Calculation of your ADULT Fee</t>
  </si>
  <si>
    <t>Tx Code</t>
  </si>
  <si>
    <t>Herbst</t>
  </si>
  <si>
    <t>Min of Tx</t>
  </si>
  <si>
    <t>For Ph-I Fee Calculations                                 Determine and Edit Below</t>
  </si>
  <si>
    <t>Tx Mo.</t>
  </si>
  <si>
    <t>Enter Below                                                          Your 24-mo Full CHILD Fee</t>
  </si>
  <si>
    <r>
      <t>12% of 24-mo CHILD Fee</t>
    </r>
    <r>
      <rPr>
        <sz val="8"/>
        <color indexed="8"/>
        <rFont val="Arial"/>
        <family val="2"/>
      </rPr>
      <t xml:space="preserve"> (auto-calc)</t>
    </r>
  </si>
  <si>
    <r>
      <t>12% of 24-mo ADULT Fee</t>
    </r>
    <r>
      <rPr>
        <sz val="8"/>
        <color indexed="8"/>
        <rFont val="Arial"/>
        <family val="2"/>
      </rPr>
      <t xml:space="preserve"> (auto-calc)</t>
    </r>
  </si>
  <si>
    <t>Mo. of Tx</t>
  </si>
  <si>
    <t xml:space="preserve">  Full Records  = $250,   Pano  = $65,    Ceph/Tracing  = $65,    Study Models  = $65,    I/O &amp; E/O Photos  = $55,</t>
  </si>
  <si>
    <t xml:space="preserve">  P.O.G. = $210,   Space Maintainer = $450,    Thumb Crib = $450,    Retainer Retreat (4-mo)= $450,    Braces Retreat (6-mo)= $850</t>
  </si>
  <si>
    <t xml:space="preserve">  Replacement  Hawley Retainer = $155,    Positioner = $220    Harley/Springs = $200,    New TMJ Splint = $350,    Mouth Guard = $75</t>
  </si>
  <si>
    <t>Edit the data in the boxes to the left as befits your practice using the format provided.</t>
  </si>
  <si>
    <t>Example Fee Schedule</t>
  </si>
  <si>
    <t>Activator/Bionator: 24 mo</t>
  </si>
  <si>
    <t>Activator/Bionator: 18 mo.</t>
  </si>
  <si>
    <t>Twin Block Appliance</t>
  </si>
  <si>
    <t>Banded RPE</t>
  </si>
  <si>
    <t>U Hawley with Springs</t>
  </si>
  <si>
    <t>Funct-24</t>
  </si>
  <si>
    <t>Funct-18</t>
  </si>
  <si>
    <t>SAG</t>
  </si>
  <si>
    <t>LB</t>
  </si>
  <si>
    <t>Twin-Block</t>
  </si>
  <si>
    <t>Pend-12</t>
  </si>
  <si>
    <t>RPE-Band</t>
  </si>
  <si>
    <t>REF</t>
  </si>
  <si>
    <t xml:space="preserve">Includes Exams, Records, Active Tx, Debands &amp; Retention </t>
  </si>
  <si>
    <t>#1</t>
  </si>
  <si>
    <t>#2</t>
  </si>
  <si>
    <t>#3</t>
  </si>
  <si>
    <t>#4</t>
  </si>
  <si>
    <t>#5</t>
  </si>
  <si>
    <t>#6</t>
  </si>
  <si>
    <t>#7</t>
  </si>
  <si>
    <t>#8</t>
  </si>
  <si>
    <t xml:space="preserve">  2)  If you enter data in the wrong box use the "Edit" and "Undo" to fix it up.  If you can't, close without saving and then reopen the file again.</t>
  </si>
  <si>
    <t xml:space="preserve">       It is important that you save the file as you enter the data to keep from having to start from the beginning again after a mistake.</t>
  </si>
  <si>
    <t>You Can Change this if you desire</t>
  </si>
  <si>
    <t>#2a</t>
  </si>
  <si>
    <t xml:space="preserve"> 5)  Determine the number of minutes you take to treat a full 24--mo. Child case (high = 1100, avg = 950, low = 800 minutes) - see REF #1</t>
  </si>
  <si>
    <t xml:space="preserve"> 6)  Enter your current 24-mo child full tx fee - See REF #2.  This will automatically set all of your child fees from 12-mo to 36 mo.</t>
  </si>
  <si>
    <r>
      <t xml:space="preserve">  1)  Make a COPY of this file for backup and print out both tabs (Instructions &amp; Your Fee Schedule </t>
    </r>
    <r>
      <rPr>
        <i/>
        <sz val="14"/>
        <color indexed="8"/>
        <rFont val="Arial Narrow"/>
        <family val="2"/>
      </rPr>
      <t>TABS</t>
    </r>
    <r>
      <rPr>
        <sz val="14"/>
        <color indexed="8"/>
        <rFont val="Arial Narrow"/>
        <family val="2"/>
      </rPr>
      <t>) for a hard copy to refer to.</t>
    </r>
  </si>
  <si>
    <r>
      <t xml:space="preserve"> 3)  Refer to the Example </t>
    </r>
    <r>
      <rPr>
        <i/>
        <sz val="14"/>
        <color indexed="8"/>
        <rFont val="Arial Narrow"/>
        <family val="2"/>
      </rPr>
      <t>below</t>
    </r>
    <r>
      <rPr>
        <sz val="14"/>
        <color indexed="8"/>
        <rFont val="Arial Narrow"/>
        <family val="2"/>
      </rPr>
      <t xml:space="preserve"> for a better understanding of what you sholud end up with.</t>
    </r>
  </si>
  <si>
    <r>
      <t xml:space="preserve"> 4)  "Click" on the "Your Fee Schedule"</t>
    </r>
    <r>
      <rPr>
        <i/>
        <sz val="14"/>
        <color indexed="8"/>
        <rFont val="Arial Narrow"/>
        <family val="2"/>
      </rPr>
      <t xml:space="preserve"> tab </t>
    </r>
    <r>
      <rPr>
        <sz val="14"/>
        <color indexed="8"/>
        <rFont val="Arial Narrow"/>
        <family val="2"/>
      </rPr>
      <t>(see bottom of screen) to access your fee schedule worksheet</t>
    </r>
  </si>
  <si>
    <t xml:space="preserve">       If you feel that the (12% of 24-mo CHILD Fee) is too high you can modify it in $50 increments, but not more than $150 or your fees will be inaccurate - see REF #2a</t>
  </si>
  <si>
    <t>#1a</t>
  </si>
  <si>
    <t>CASH - Paid-in-Full Discount</t>
  </si>
  <si>
    <t>Credit Card - Paid-in-Full Discount</t>
  </si>
  <si>
    <t>#2b</t>
  </si>
  <si>
    <t xml:space="preserve"> 7)  Enter your CASH Paid-in-Full % discount - see REF #2a.   Also enter your Credit Card Paid-in-Full % discount - see REF #2b.</t>
  </si>
  <si>
    <t xml:space="preserve"> 8)  For each Ph-I Tx you do, determine the approximate numbers of minutes it takes to treat a case - see REF #3 - also refer to examples below</t>
  </si>
  <si>
    <t xml:space="preserve">       Also enter for each Ph-I Tx the number of months of Tx (typically, 4, 6, 9, 12, 15, 18 &amp; 24) - see REF #3 - also refer to examples below</t>
  </si>
  <si>
    <t xml:space="preserve">       Also enter for each Ph-I Tx the lab fees, if any, (typically, $40 per fixed or removable appl. And $150-$200 for functional) - see REF #3 - also refer to examples below</t>
  </si>
  <si>
    <t xml:space="preserve">       Also enter for each Ph-I Tx the Tx Code - see REF #3 - also refer to examples below</t>
  </si>
  <si>
    <t xml:space="preserve">       Finally, enter for each Ph-I Tx the Tx Mechanotherapy (the actual U &amp;/or L appliances used) - refer to examples below</t>
  </si>
  <si>
    <t>Sagittal or Schwartz</t>
  </si>
  <si>
    <t>Bonded RPE</t>
  </si>
  <si>
    <t>Herbst Appliance</t>
  </si>
  <si>
    <t>Pendulum Appliance</t>
  </si>
  <si>
    <t>L Lip Bumper</t>
  </si>
  <si>
    <t>RPE-Bond</t>
  </si>
  <si>
    <t xml:space="preserve"> 9)  Enter the Ph-II Fee Courtesy (high = $800, avg = $400, low = $200) - see REF #4</t>
  </si>
  <si>
    <t>10)  Enter the Adult Add-on Fee amount to set your Adult Full Fees (high = $600, avg = $300, low = $0) - see REF #5</t>
  </si>
  <si>
    <t>#5a</t>
  </si>
  <si>
    <t xml:space="preserve">         If you feel that the (12% of 24-mo ADULT Fee) is too high you can modify it in $50 increments, but not more than $150 or your fees will be inaccurate - see REF #2a</t>
  </si>
  <si>
    <r>
      <t xml:space="preserve">INSTRUCTION PAGE - Use </t>
    </r>
    <r>
      <rPr>
        <b/>
        <i/>
        <sz val="22"/>
        <color indexed="10"/>
        <rFont val="Times"/>
        <family val="0"/>
      </rPr>
      <t>Tab on Bottom</t>
    </r>
    <r>
      <rPr>
        <b/>
        <sz val="22"/>
        <color indexed="10"/>
        <rFont val="Times"/>
        <family val="0"/>
      </rPr>
      <t xml:space="preserve"> to Edit </t>
    </r>
    <r>
      <rPr>
        <b/>
        <i/>
        <sz val="22"/>
        <color indexed="10"/>
        <rFont val="Times"/>
        <family val="0"/>
      </rPr>
      <t>YOUR</t>
    </r>
    <r>
      <rPr>
        <b/>
        <sz val="22"/>
        <color indexed="10"/>
        <rFont val="Times"/>
        <family val="0"/>
      </rPr>
      <t xml:space="preserve"> Fee Schedule</t>
    </r>
  </si>
  <si>
    <t>11)  Enter your TMJ Fee and the number of months of Tx - see REF #6</t>
  </si>
  <si>
    <t>12)  Enter your Surgical Add-on Fee (high = $1,000, avg = $600, low = $400) - see REF #7</t>
  </si>
  <si>
    <t>Mo of Tx</t>
  </si>
  <si>
    <r>
      <t xml:space="preserve">13)  Enter your Miscellaneous Fees, </t>
    </r>
    <r>
      <rPr>
        <i/>
        <sz val="14"/>
        <color indexed="8"/>
        <rFont val="Arial Narrow"/>
        <family val="2"/>
      </rPr>
      <t>directly on the fee schedule</t>
    </r>
    <r>
      <rPr>
        <sz val="14"/>
        <color indexed="8"/>
        <rFont val="Arial Narrow"/>
        <family val="2"/>
      </rPr>
      <t>, using the format provided  - see REF #8</t>
    </r>
  </si>
  <si>
    <r>
      <t xml:space="preserve">14)  </t>
    </r>
    <r>
      <rPr>
        <i/>
        <sz val="14"/>
        <color indexed="8"/>
        <rFont val="Arial Narrow"/>
        <family val="2"/>
      </rPr>
      <t>Change</t>
    </r>
    <r>
      <rPr>
        <sz val="14"/>
        <color indexed="8"/>
        <rFont val="Arial Narrow"/>
        <family val="2"/>
      </rPr>
      <t xml:space="preserve"> your Fee Courtesies where the arrows point to if desired, </t>
    </r>
    <r>
      <rPr>
        <i/>
        <sz val="14"/>
        <color indexed="8"/>
        <rFont val="Arial Narrow"/>
        <family val="2"/>
      </rPr>
      <t>directly on the fee schedule</t>
    </r>
    <r>
      <rPr>
        <sz val="14"/>
        <color indexed="8"/>
        <rFont val="Arial Narrow"/>
        <family val="2"/>
      </rPr>
      <t>, using the format provided - see REF #8</t>
    </r>
  </si>
  <si>
    <t xml:space="preserve"> 15)  When done save the Fee Schedule and save a back-up copy, too</t>
  </si>
  <si>
    <t xml:space="preserve"> 15)  Finally, delete any unused Ph-I Tx lines (but NEVER columns)</t>
  </si>
  <si>
    <t xml:space="preserve"> 16)  Print the Fee Schedule in color for each person who will use it.  The printout should only include the fee schedule and none of the "green" areas.</t>
  </si>
  <si>
    <t xml:space="preserve"> 17)  Enter the Doctor(s) Name on the Fee Schedule and the Year.</t>
  </si>
  <si>
    <t xml:space="preserve"> CHILD Full Tx:</t>
  </si>
  <si>
    <r>
      <t xml:space="preserve"> CHILD </t>
    </r>
    <r>
      <rPr>
        <b/>
        <i/>
        <sz val="14"/>
        <color indexed="8"/>
        <rFont val="Times New Roman"/>
        <family val="1"/>
      </rPr>
      <t>Ph-I</t>
    </r>
    <r>
      <rPr>
        <b/>
        <sz val="14"/>
        <color indexed="8"/>
        <rFont val="Times New Roman"/>
        <family val="1"/>
      </rPr>
      <t xml:space="preserve"> Tx:</t>
    </r>
  </si>
  <si>
    <r>
      <t xml:space="preserve"> CHILD </t>
    </r>
    <r>
      <rPr>
        <b/>
        <i/>
        <sz val="14"/>
        <color indexed="8"/>
        <rFont val="Times New Roman"/>
        <family val="1"/>
      </rPr>
      <t>Ph-II</t>
    </r>
    <r>
      <rPr>
        <b/>
        <sz val="14"/>
        <color indexed="8"/>
        <rFont val="Times New Roman"/>
        <family val="1"/>
      </rPr>
      <t xml:space="preserve"> Tx:</t>
    </r>
  </si>
  <si>
    <t xml:space="preserve"> ADULT Full Tx:             </t>
  </si>
  <si>
    <t xml:space="preserve"> ADULT Full Tx:                </t>
  </si>
  <si>
    <t xml:space="preserve">  Tx</t>
  </si>
  <si>
    <t>Fee Schedule-2022 for Dr. 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</si>
</sst>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%"/>
    <numFmt numFmtId="167" formatCode="&quot;$&quot;#,##0.0_);[Red]\(&quot;$&quot;#,##0.0\)"/>
    <numFmt numFmtId="168" formatCode="0_);\(0\)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"/>
      <family val="2"/>
    </font>
    <font>
      <sz val="24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24"/>
      <color indexed="8"/>
      <name val="Arial"/>
      <family val="0"/>
    </font>
    <font>
      <b/>
      <sz val="24"/>
      <color indexed="8"/>
      <name val="Times"/>
      <family val="1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SansThinCondensed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9"/>
      <color indexed="8"/>
      <name val="Times New Roman"/>
      <family val="1"/>
    </font>
    <font>
      <b/>
      <sz val="8"/>
      <color indexed="8"/>
      <name val="Arial Narrow"/>
      <family val="2"/>
    </font>
    <font>
      <b/>
      <sz val="18"/>
      <name val="Arial Narrow"/>
      <family val="2"/>
    </font>
    <font>
      <sz val="9"/>
      <color indexed="8"/>
      <name val="Square721 Cn BT"/>
      <family val="2"/>
    </font>
    <font>
      <sz val="9"/>
      <color indexed="8"/>
      <name val="Helvetica-Narrow"/>
      <family val="2"/>
    </font>
    <font>
      <sz val="8"/>
      <name val="Helvetica-Narrow"/>
      <family val="2"/>
    </font>
    <font>
      <sz val="8"/>
      <color indexed="8"/>
      <name val="Helvetica-Narrow"/>
      <family val="2"/>
    </font>
    <font>
      <b/>
      <sz val="16"/>
      <color indexed="8"/>
      <name val="SerpentineDBol"/>
      <family val="2"/>
    </font>
    <font>
      <b/>
      <sz val="16"/>
      <color indexed="8"/>
      <name val="Arial Narrow"/>
      <family val="2"/>
    </font>
    <font>
      <i/>
      <sz val="10"/>
      <name val="Arial Narrow"/>
      <family val="2"/>
    </font>
    <font>
      <i/>
      <sz val="8"/>
      <color indexed="8"/>
      <name val="Arial Narrow"/>
      <family val="2"/>
    </font>
    <font>
      <b/>
      <sz val="9"/>
      <color indexed="8"/>
      <name val="Helvetica-Narrow"/>
      <family val="2"/>
    </font>
    <font>
      <sz val="14"/>
      <color indexed="8"/>
      <name val="SerpentineDBol"/>
      <family val="2"/>
    </font>
    <font>
      <sz val="8"/>
      <color indexed="8"/>
      <name val="Square721 Cn BT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i/>
      <sz val="10"/>
      <color indexed="8"/>
      <name val="Arial Narrow"/>
      <family val="2"/>
    </font>
    <font>
      <b/>
      <sz val="12"/>
      <name val="Arial"/>
      <family val="2"/>
    </font>
    <font>
      <b/>
      <i/>
      <sz val="12"/>
      <color indexed="20"/>
      <name val="Arial"/>
      <family val="2"/>
    </font>
    <font>
      <b/>
      <sz val="11"/>
      <color indexed="8"/>
      <name val="Arial"/>
      <family val="2"/>
    </font>
    <font>
      <sz val="14"/>
      <color indexed="8"/>
      <name val="Arial Narrow"/>
      <family val="2"/>
    </font>
    <font>
      <i/>
      <sz val="14"/>
      <color indexed="8"/>
      <name val="Arial Narrow"/>
      <family val="2"/>
    </font>
    <font>
      <sz val="14"/>
      <name val="Arial"/>
      <family val="0"/>
    </font>
    <font>
      <b/>
      <sz val="26"/>
      <color indexed="8"/>
      <name val="Times New Roman"/>
      <family val="1"/>
    </font>
    <font>
      <b/>
      <sz val="22"/>
      <color indexed="10"/>
      <name val="Times"/>
      <family val="0"/>
    </font>
    <font>
      <b/>
      <i/>
      <sz val="22"/>
      <color indexed="10"/>
      <name val="Times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>
        <color indexed="8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 style="thin"/>
      <top style="thin"/>
      <bottom style="dotted"/>
    </border>
    <border>
      <left style="hair"/>
      <right style="medium"/>
      <top style="thin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hair"/>
      <right style="thin"/>
      <top style="dotted"/>
      <bottom style="dotted"/>
    </border>
    <border>
      <left style="hair"/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hair"/>
      <right style="thin"/>
      <top style="dotted"/>
      <bottom style="medium"/>
    </border>
    <border>
      <left style="hair"/>
      <right style="medium"/>
      <top style="dotted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medium"/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>
        <color indexed="8"/>
      </right>
      <top style="medium"/>
      <bottom style="dotted"/>
    </border>
    <border>
      <left style="thin">
        <color indexed="8"/>
      </left>
      <right>
        <color indexed="63"/>
      </right>
      <top style="medium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dotted"/>
      <bottom style="dotted"/>
    </border>
    <border>
      <left style="thin">
        <color indexed="8"/>
      </left>
      <right>
        <color indexed="63"/>
      </right>
      <top style="dotted"/>
      <bottom style="dotted"/>
    </border>
    <border>
      <left>
        <color indexed="63"/>
      </left>
      <right style="thin">
        <color indexed="8"/>
      </right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>
        <color indexed="8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>
        <color indexed="8"/>
      </right>
      <top style="thin"/>
      <bottom style="hair"/>
    </border>
    <border>
      <left>
        <color indexed="63"/>
      </left>
      <right style="hair">
        <color indexed="8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6">
    <xf numFmtId="0" fontId="0" fillId="0" borderId="0" xfId="0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6" fillId="2" borderId="2" xfId="0" applyFont="1" applyFill="1" applyBorder="1" applyAlignment="1">
      <alignment vertical="center"/>
    </xf>
    <xf numFmtId="0" fontId="16" fillId="2" borderId="2" xfId="0" applyFont="1" applyFill="1" applyBorder="1" applyAlignment="1">
      <alignment/>
    </xf>
    <xf numFmtId="165" fontId="11" fillId="2" borderId="2" xfId="0" applyNumberFormat="1" applyFont="1" applyFill="1" applyBorder="1" applyAlignment="1">
      <alignment/>
    </xf>
    <xf numFmtId="0" fontId="16" fillId="2" borderId="2" xfId="0" applyFont="1" applyFill="1" applyBorder="1" applyAlignment="1">
      <alignment horizontal="right" vertical="center"/>
    </xf>
    <xf numFmtId="0" fontId="16" fillId="2" borderId="2" xfId="0" applyFont="1" applyFill="1" applyBorder="1" applyAlignment="1">
      <alignment horizontal="left"/>
    </xf>
    <xf numFmtId="0" fontId="22" fillId="2" borderId="2" xfId="0" applyFont="1" applyFill="1" applyBorder="1" applyAlignment="1">
      <alignment/>
    </xf>
    <xf numFmtId="0" fontId="21" fillId="2" borderId="2" xfId="0" applyFont="1" applyFill="1" applyBorder="1" applyAlignment="1">
      <alignment/>
    </xf>
    <xf numFmtId="0" fontId="21" fillId="2" borderId="2" xfId="0" applyFont="1" applyFill="1" applyBorder="1" applyAlignment="1">
      <alignment horizontal="right" vertical="center"/>
    </xf>
    <xf numFmtId="166" fontId="10" fillId="2" borderId="2" xfId="0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/>
    </xf>
    <xf numFmtId="0" fontId="21" fillId="0" borderId="4" xfId="0" applyFont="1" applyBorder="1" applyAlignment="1">
      <alignment horizontal="center"/>
    </xf>
    <xf numFmtId="0" fontId="23" fillId="3" borderId="5" xfId="0" applyFont="1" applyFill="1" applyBorder="1" applyAlignment="1">
      <alignment horizontal="center"/>
    </xf>
    <xf numFmtId="0" fontId="23" fillId="3" borderId="6" xfId="0" applyFont="1" applyFill="1" applyBorder="1" applyAlignment="1">
      <alignment horizontal="center"/>
    </xf>
    <xf numFmtId="2" fontId="12" fillId="3" borderId="6" xfId="0" applyNumberFormat="1" applyFont="1" applyFill="1" applyBorder="1" applyAlignment="1">
      <alignment/>
    </xf>
    <xf numFmtId="0" fontId="23" fillId="3" borderId="7" xfId="0" applyFont="1" applyFill="1" applyBorder="1" applyAlignment="1">
      <alignment/>
    </xf>
    <xf numFmtId="0" fontId="23" fillId="3" borderId="7" xfId="0" applyFont="1" applyFill="1" applyBorder="1" applyAlignment="1">
      <alignment horizontal="centerContinuous"/>
    </xf>
    <xf numFmtId="0" fontId="21" fillId="0" borderId="4" xfId="0" applyFont="1" applyFill="1" applyBorder="1" applyAlignment="1">
      <alignment horizontal="center" vertical="top"/>
    </xf>
    <xf numFmtId="0" fontId="21" fillId="0" borderId="0" xfId="0" applyFont="1" applyFill="1" applyAlignment="1">
      <alignment horizontal="center" vertical="top"/>
    </xf>
    <xf numFmtId="0" fontId="23" fillId="3" borderId="8" xfId="0" applyFont="1" applyFill="1" applyBorder="1" applyAlignment="1">
      <alignment horizontal="center" vertical="center"/>
    </xf>
    <xf numFmtId="0" fontId="23" fillId="3" borderId="9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Continuous" vertical="center"/>
    </xf>
    <xf numFmtId="0" fontId="23" fillId="3" borderId="10" xfId="0" applyFont="1" applyFill="1" applyBorder="1" applyAlignment="1">
      <alignment horizontal="centerContinuous" vertical="center"/>
    </xf>
    <xf numFmtId="165" fontId="23" fillId="3" borderId="10" xfId="0" applyNumberFormat="1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2" fontId="10" fillId="3" borderId="10" xfId="0" applyNumberFormat="1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left" vertical="center" indent="1"/>
    </xf>
    <xf numFmtId="0" fontId="11" fillId="0" borderId="0" xfId="0" applyFont="1" applyFill="1" applyAlignment="1">
      <alignment horizontal="left" vertical="center"/>
    </xf>
    <xf numFmtId="6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inden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6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0" fontId="21" fillId="2" borderId="2" xfId="0" applyFont="1" applyFill="1" applyBorder="1" applyAlignment="1">
      <alignment horizontal="left"/>
    </xf>
    <xf numFmtId="0" fontId="23" fillId="0" borderId="15" xfId="0" applyFont="1" applyFill="1" applyBorder="1" applyAlignment="1">
      <alignment horizontal="left" vertical="center" indent="1"/>
    </xf>
    <xf numFmtId="0" fontId="10" fillId="0" borderId="0" xfId="0" applyNumberFormat="1" applyFont="1" applyBorder="1" applyAlignment="1">
      <alignment horizontal="left" vertical="center"/>
    </xf>
    <xf numFmtId="0" fontId="32" fillId="2" borderId="2" xfId="0" applyFont="1" applyFill="1" applyBorder="1" applyAlignment="1">
      <alignment vertical="center"/>
    </xf>
    <xf numFmtId="165" fontId="33" fillId="2" borderId="2" xfId="0" applyNumberFormat="1" applyFont="1" applyFill="1" applyBorder="1" applyAlignment="1">
      <alignment vertical="center"/>
    </xf>
    <xf numFmtId="0" fontId="16" fillId="4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right" vertical="center"/>
    </xf>
    <xf numFmtId="0" fontId="16" fillId="4" borderId="0" xfId="0" applyFont="1" applyFill="1" applyAlignment="1">
      <alignment horizontal="center"/>
    </xf>
    <xf numFmtId="165" fontId="11" fillId="4" borderId="0" xfId="0" applyNumberFormat="1" applyFont="1" applyFill="1" applyAlignment="1">
      <alignment horizontal="left"/>
    </xf>
    <xf numFmtId="0" fontId="16" fillId="4" borderId="0" xfId="0" applyFont="1" applyFill="1" applyAlignment="1">
      <alignment horizontal="left"/>
    </xf>
    <xf numFmtId="0" fontId="16" fillId="4" borderId="0" xfId="0" applyFont="1" applyFill="1" applyAlignment="1">
      <alignment horizontal="right"/>
    </xf>
    <xf numFmtId="0" fontId="16" fillId="4" borderId="0" xfId="0" applyFont="1" applyFill="1" applyAlignment="1">
      <alignment/>
    </xf>
    <xf numFmtId="0" fontId="10" fillId="4" borderId="0" xfId="0" applyFont="1" applyFill="1" applyAlignment="1">
      <alignment horizontal="right" vertical="center"/>
    </xf>
    <xf numFmtId="0" fontId="10" fillId="4" borderId="0" xfId="0" applyFont="1" applyFill="1" applyAlignment="1">
      <alignment horizontal="center" vertical="center"/>
    </xf>
    <xf numFmtId="2" fontId="10" fillId="4" borderId="0" xfId="0" applyNumberFormat="1" applyFont="1" applyFill="1" applyAlignment="1">
      <alignment/>
    </xf>
    <xf numFmtId="165" fontId="10" fillId="4" borderId="0" xfId="0" applyNumberFormat="1" applyFont="1" applyFill="1" applyAlignment="1">
      <alignment horizontal="center"/>
    </xf>
    <xf numFmtId="0" fontId="11" fillId="0" borderId="0" xfId="0" applyFont="1" applyAlignment="1">
      <alignment horizontal="left" vertical="top"/>
    </xf>
    <xf numFmtId="6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center" vertical="center"/>
    </xf>
    <xf numFmtId="165" fontId="31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16" fillId="0" borderId="0" xfId="0" applyFont="1" applyAlignment="1">
      <alignment/>
    </xf>
    <xf numFmtId="9" fontId="16" fillId="0" borderId="0" xfId="0" applyNumberFormat="1" applyFont="1" applyAlignment="1">
      <alignment/>
    </xf>
    <xf numFmtId="0" fontId="16" fillId="4" borderId="0" xfId="0" applyFont="1" applyFill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"/>
    </xf>
    <xf numFmtId="165" fontId="11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2" fontId="10" fillId="0" borderId="0" xfId="0" applyNumberFormat="1" applyFont="1" applyAlignment="1">
      <alignment/>
    </xf>
    <xf numFmtId="165" fontId="10" fillId="0" borderId="0" xfId="0" applyNumberFormat="1" applyFont="1" applyAlignment="1">
      <alignment horizontal="center"/>
    </xf>
    <xf numFmtId="0" fontId="37" fillId="2" borderId="2" xfId="0" applyFont="1" applyFill="1" applyBorder="1" applyAlignment="1">
      <alignment vertical="center"/>
    </xf>
    <xf numFmtId="0" fontId="37" fillId="2" borderId="3" xfId="0" applyFont="1" applyFill="1" applyBorder="1" applyAlignment="1">
      <alignment vertical="center"/>
    </xf>
    <xf numFmtId="6" fontId="10" fillId="0" borderId="16" xfId="0" applyNumberFormat="1" applyFont="1" applyBorder="1" applyAlignment="1">
      <alignment horizontal="left" vertical="center" shrinkToFit="1"/>
    </xf>
    <xf numFmtId="165" fontId="12" fillId="0" borderId="16" xfId="0" applyNumberFormat="1" applyFont="1" applyBorder="1" applyAlignment="1">
      <alignment horizontal="right" vertical="center" shrinkToFit="1"/>
    </xf>
    <xf numFmtId="38" fontId="10" fillId="0" borderId="16" xfId="0" applyNumberFormat="1" applyFont="1" applyBorder="1" applyAlignment="1">
      <alignment horizontal="center" vertical="center" shrinkToFit="1"/>
    </xf>
    <xf numFmtId="6" fontId="10" fillId="0" borderId="17" xfId="0" applyNumberFormat="1" applyFont="1" applyBorder="1" applyAlignment="1">
      <alignment horizontal="center" vertical="center" shrinkToFit="1"/>
    </xf>
    <xf numFmtId="49" fontId="15" fillId="0" borderId="18" xfId="0" applyNumberFormat="1" applyFont="1" applyBorder="1" applyAlignment="1">
      <alignment horizontal="center" vertical="center"/>
    </xf>
    <xf numFmtId="6" fontId="10" fillId="0" borderId="18" xfId="0" applyNumberFormat="1" applyFont="1" applyBorder="1" applyAlignment="1">
      <alignment horizontal="right" vertical="center"/>
    </xf>
    <xf numFmtId="49" fontId="40" fillId="0" borderId="18" xfId="0" applyNumberFormat="1" applyFont="1" applyBorder="1" applyAlignment="1">
      <alignment horizontal="left" vertical="center"/>
    </xf>
    <xf numFmtId="49" fontId="40" fillId="0" borderId="19" xfId="0" applyNumberFormat="1" applyFont="1" applyBorder="1" applyAlignment="1">
      <alignment horizontal="center" vertical="center"/>
    </xf>
    <xf numFmtId="49" fontId="23" fillId="0" borderId="18" xfId="0" applyNumberFormat="1" applyFont="1" applyBorder="1" applyAlignment="1">
      <alignment horizontal="left" vertical="center"/>
    </xf>
    <xf numFmtId="49" fontId="23" fillId="0" borderId="19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 shrinkToFit="1"/>
    </xf>
    <xf numFmtId="165" fontId="12" fillId="0" borderId="18" xfId="0" applyNumberFormat="1" applyFont="1" applyBorder="1" applyAlignment="1">
      <alignment horizontal="left" vertical="center" shrinkToFit="1"/>
    </xf>
    <xf numFmtId="0" fontId="10" fillId="0" borderId="18" xfId="0" applyFont="1" applyBorder="1" applyAlignment="1">
      <alignment horizontal="left" vertical="center" shrinkToFit="1"/>
    </xf>
    <xf numFmtId="0" fontId="10" fillId="0" borderId="18" xfId="0" applyFont="1" applyBorder="1" applyAlignment="1">
      <alignment horizontal="center" vertical="center" shrinkToFit="1"/>
    </xf>
    <xf numFmtId="165" fontId="10" fillId="0" borderId="19" xfId="0" applyNumberFormat="1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 shrinkToFit="1"/>
    </xf>
    <xf numFmtId="165" fontId="12" fillId="0" borderId="21" xfId="0" applyNumberFormat="1" applyFont="1" applyBorder="1" applyAlignment="1">
      <alignment horizontal="left" vertical="center" shrinkToFit="1"/>
    </xf>
    <xf numFmtId="0" fontId="10" fillId="0" borderId="21" xfId="0" applyFont="1" applyBorder="1" applyAlignment="1">
      <alignment horizontal="left" vertical="center" shrinkToFit="1"/>
    </xf>
    <xf numFmtId="0" fontId="10" fillId="0" borderId="21" xfId="0" applyFont="1" applyBorder="1" applyAlignment="1">
      <alignment horizontal="center" vertical="center" shrinkToFit="1"/>
    </xf>
    <xf numFmtId="165" fontId="10" fillId="0" borderId="22" xfId="0" applyNumberFormat="1" applyFont="1" applyBorder="1" applyAlignment="1">
      <alignment horizontal="center" vertical="center" shrinkToFit="1"/>
    </xf>
    <xf numFmtId="0" fontId="18" fillId="5" borderId="0" xfId="0" applyFont="1" applyFill="1" applyAlignment="1">
      <alignment vertical="top"/>
    </xf>
    <xf numFmtId="0" fontId="43" fillId="5" borderId="0" xfId="0" applyFont="1" applyFill="1" applyAlignment="1">
      <alignment/>
    </xf>
    <xf numFmtId="0" fontId="0" fillId="5" borderId="0" xfId="0" applyFill="1" applyAlignment="1">
      <alignment/>
    </xf>
    <xf numFmtId="0" fontId="20" fillId="5" borderId="0" xfId="0" applyFont="1" applyFill="1" applyAlignment="1">
      <alignment horizontal="center"/>
    </xf>
    <xf numFmtId="0" fontId="1" fillId="5" borderId="0" xfId="0" applyFont="1" applyFill="1" applyAlignment="1">
      <alignment vertical="top"/>
    </xf>
    <xf numFmtId="0" fontId="0" fillId="5" borderId="0" xfId="0" applyFill="1" applyAlignment="1">
      <alignment vertical="top"/>
    </xf>
    <xf numFmtId="9" fontId="21" fillId="5" borderId="0" xfId="0" applyNumberFormat="1" applyFont="1" applyFill="1" applyAlignment="1">
      <alignment horizontal="left"/>
    </xf>
    <xf numFmtId="0" fontId="0" fillId="5" borderId="0" xfId="0" applyFill="1" applyAlignment="1">
      <alignment vertical="center"/>
    </xf>
    <xf numFmtId="0" fontId="20" fillId="5" borderId="0" xfId="0" applyFont="1" applyFill="1" applyAlignment="1">
      <alignment horizontal="center" vertical="top"/>
    </xf>
    <xf numFmtId="9" fontId="16" fillId="5" borderId="0" xfId="0" applyNumberFormat="1" applyFont="1" applyFill="1" applyAlignment="1">
      <alignment/>
    </xf>
    <xf numFmtId="0" fontId="12" fillId="5" borderId="0" xfId="0" applyFont="1" applyFill="1" applyBorder="1" applyAlignment="1">
      <alignment horizontal="left" vertical="center"/>
    </xf>
    <xf numFmtId="6" fontId="23" fillId="5" borderId="0" xfId="0" applyNumberFormat="1" applyFont="1" applyFill="1" applyBorder="1" applyAlignment="1">
      <alignment horizontal="left" vertical="top"/>
    </xf>
    <xf numFmtId="6" fontId="4" fillId="5" borderId="0" xfId="0" applyNumberFormat="1" applyFont="1" applyFill="1" applyBorder="1" applyAlignment="1">
      <alignment horizontal="center" vertical="center"/>
    </xf>
    <xf numFmtId="0" fontId="27" fillId="5" borderId="0" xfId="0" applyFont="1" applyFill="1" applyAlignment="1">
      <alignment/>
    </xf>
    <xf numFmtId="0" fontId="8" fillId="5" borderId="0" xfId="0" applyFont="1" applyFill="1" applyAlignment="1">
      <alignment/>
    </xf>
    <xf numFmtId="6" fontId="10" fillId="5" borderId="0" xfId="0" applyNumberFormat="1" applyFont="1" applyFill="1" applyBorder="1" applyAlignment="1">
      <alignment horizontal="center" vertical="center"/>
    </xf>
    <xf numFmtId="0" fontId="8" fillId="5" borderId="23" xfId="0" applyFont="1" applyFill="1" applyBorder="1" applyAlignment="1">
      <alignment/>
    </xf>
    <xf numFmtId="0" fontId="8" fillId="5" borderId="24" xfId="0" applyFont="1" applyFill="1" applyBorder="1" applyAlignment="1">
      <alignment/>
    </xf>
    <xf numFmtId="0" fontId="16" fillId="5" borderId="0" xfId="0" applyFont="1" applyFill="1" applyBorder="1" applyAlignment="1">
      <alignment horizontal="left"/>
    </xf>
    <xf numFmtId="0" fontId="28" fillId="5" borderId="0" xfId="0" applyFont="1" applyFill="1" applyBorder="1" applyAlignment="1">
      <alignment horizontal="centerContinuous" vertical="center"/>
    </xf>
    <xf numFmtId="0" fontId="29" fillId="5" borderId="0" xfId="0" applyFont="1" applyFill="1" applyBorder="1" applyAlignment="1">
      <alignment horizontal="left" vertical="center"/>
    </xf>
    <xf numFmtId="6" fontId="7" fillId="5" borderId="25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1" fillId="5" borderId="0" xfId="0" applyFont="1" applyFill="1" applyAlignment="1">
      <alignment/>
    </xf>
    <xf numFmtId="0" fontId="11" fillId="5" borderId="0" xfId="0" applyFont="1" applyFill="1" applyBorder="1" applyAlignment="1">
      <alignment/>
    </xf>
    <xf numFmtId="6" fontId="40" fillId="5" borderId="0" xfId="0" applyNumberFormat="1" applyFont="1" applyFill="1" applyBorder="1" applyAlignment="1">
      <alignment horizontal="left" vertical="top"/>
    </xf>
    <xf numFmtId="0" fontId="35" fillId="5" borderId="0" xfId="0" applyFont="1" applyFill="1" applyBorder="1" applyAlignment="1">
      <alignment horizontal="left" vertical="center"/>
    </xf>
    <xf numFmtId="0" fontId="34" fillId="5" borderId="0" xfId="0" applyFont="1" applyFill="1" applyAlignment="1">
      <alignment/>
    </xf>
    <xf numFmtId="0" fontId="16" fillId="5" borderId="0" xfId="0" applyFont="1" applyFill="1" applyAlignment="1">
      <alignment horizontal="left"/>
    </xf>
    <xf numFmtId="0" fontId="38" fillId="5" borderId="0" xfId="0" applyFont="1" applyFill="1" applyBorder="1" applyAlignment="1">
      <alignment horizontal="centerContinuous" vertical="center"/>
    </xf>
    <xf numFmtId="0" fontId="7" fillId="5" borderId="26" xfId="0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vertical="center"/>
    </xf>
    <xf numFmtId="0" fontId="38" fillId="5" borderId="0" xfId="0" applyFont="1" applyFill="1" applyBorder="1" applyAlignment="1">
      <alignment horizontal="left" vertical="center"/>
    </xf>
    <xf numFmtId="0" fontId="16" fillId="5" borderId="0" xfId="0" applyFont="1" applyFill="1" applyAlignment="1">
      <alignment/>
    </xf>
    <xf numFmtId="0" fontId="16" fillId="5" borderId="0" xfId="0" applyFont="1" applyFill="1" applyAlignment="1">
      <alignment horizontal="left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37" fontId="6" fillId="6" borderId="31" xfId="0" applyNumberFormat="1" applyFont="1" applyFill="1" applyBorder="1" applyAlignment="1">
      <alignment horizontal="center" vertical="center"/>
    </xf>
    <xf numFmtId="1" fontId="15" fillId="6" borderId="0" xfId="0" applyNumberFormat="1" applyFont="1" applyFill="1" applyAlignment="1">
      <alignment horizontal="center" vertical="top"/>
    </xf>
    <xf numFmtId="0" fontId="5" fillId="5" borderId="0" xfId="0" applyFont="1" applyFill="1" applyAlignment="1">
      <alignment vertical="center"/>
    </xf>
    <xf numFmtId="9" fontId="12" fillId="5" borderId="0" xfId="0" applyNumberFormat="1" applyFont="1" applyFill="1" applyAlignment="1">
      <alignment vertical="top"/>
    </xf>
    <xf numFmtId="0" fontId="18" fillId="0" borderId="0" xfId="0" applyFont="1" applyFill="1" applyAlignment="1">
      <alignment vertical="top"/>
    </xf>
    <xf numFmtId="5" fontId="6" fillId="6" borderId="29" xfId="0" applyNumberFormat="1" applyFont="1" applyFill="1" applyBorder="1" applyAlignment="1">
      <alignment horizontal="center"/>
    </xf>
    <xf numFmtId="5" fontId="6" fillId="6" borderId="32" xfId="0" applyNumberFormat="1" applyFont="1" applyFill="1" applyBorder="1" applyAlignment="1">
      <alignment horizontal="center"/>
    </xf>
    <xf numFmtId="5" fontId="6" fillId="6" borderId="33" xfId="0" applyNumberFormat="1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left" vertical="center"/>
    </xf>
    <xf numFmtId="6" fontId="12" fillId="0" borderId="35" xfId="0" applyNumberFormat="1" applyFont="1" applyBorder="1" applyAlignment="1">
      <alignment horizontal="left" vertical="center"/>
    </xf>
    <xf numFmtId="6" fontId="12" fillId="0" borderId="16" xfId="0" applyNumberFormat="1" applyFont="1" applyBorder="1" applyAlignment="1">
      <alignment horizontal="left" vertical="center"/>
    </xf>
    <xf numFmtId="6" fontId="12" fillId="0" borderId="17" xfId="0" applyNumberFormat="1" applyFont="1" applyBorder="1" applyAlignment="1">
      <alignment horizontal="left" vertical="center"/>
    </xf>
    <xf numFmtId="6" fontId="12" fillId="0" borderId="18" xfId="0" applyNumberFormat="1" applyFont="1" applyBorder="1" applyAlignment="1">
      <alignment vertical="center"/>
    </xf>
    <xf numFmtId="6" fontId="12" fillId="0" borderId="19" xfId="0" applyNumberFormat="1" applyFont="1" applyBorder="1" applyAlignment="1">
      <alignment vertical="center"/>
    </xf>
    <xf numFmtId="6" fontId="12" fillId="0" borderId="21" xfId="0" applyNumberFormat="1" applyFont="1" applyBorder="1" applyAlignment="1">
      <alignment vertical="center"/>
    </xf>
    <xf numFmtId="6" fontId="12" fillId="0" borderId="22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 vertical="top" indent="1"/>
    </xf>
    <xf numFmtId="0" fontId="10" fillId="0" borderId="14" xfId="0" applyFont="1" applyBorder="1" applyAlignment="1">
      <alignment horizontal="center" vertical="center"/>
    </xf>
    <xf numFmtId="165" fontId="48" fillId="7" borderId="0" xfId="0" applyNumberFormat="1" applyFont="1" applyFill="1" applyAlignment="1">
      <alignment horizontal="center" vertical="center"/>
    </xf>
    <xf numFmtId="165" fontId="48" fillId="7" borderId="0" xfId="0" applyNumberFormat="1" applyFont="1" applyFill="1" applyAlignment="1">
      <alignment horizontal="center"/>
    </xf>
    <xf numFmtId="5" fontId="15" fillId="6" borderId="0" xfId="0" applyNumberFormat="1" applyFont="1" applyFill="1" applyAlignment="1">
      <alignment horizontal="center" vertical="top"/>
    </xf>
    <xf numFmtId="1" fontId="43" fillId="5" borderId="0" xfId="0" applyNumberFormat="1" applyFont="1" applyFill="1" applyAlignment="1">
      <alignment horizontal="left" vertical="top"/>
    </xf>
    <xf numFmtId="49" fontId="26" fillId="6" borderId="29" xfId="0" applyNumberFormat="1" applyFont="1" applyFill="1" applyBorder="1" applyAlignment="1">
      <alignment horizontal="center" vertical="center"/>
    </xf>
    <xf numFmtId="49" fontId="26" fillId="6" borderId="32" xfId="0" applyNumberFormat="1" applyFont="1" applyFill="1" applyBorder="1" applyAlignment="1">
      <alignment horizontal="center" vertical="center"/>
    </xf>
    <xf numFmtId="49" fontId="26" fillId="6" borderId="33" xfId="0" applyNumberFormat="1" applyFont="1" applyFill="1" applyBorder="1" applyAlignment="1">
      <alignment horizontal="center" vertical="center"/>
    </xf>
    <xf numFmtId="6" fontId="7" fillId="5" borderId="34" xfId="0" applyNumberFormat="1" applyFont="1" applyFill="1" applyBorder="1" applyAlignment="1">
      <alignment horizontal="center" vertical="center"/>
    </xf>
    <xf numFmtId="37" fontId="40" fillId="6" borderId="29" xfId="0" applyNumberFormat="1" applyFont="1" applyFill="1" applyBorder="1" applyAlignment="1">
      <alignment horizontal="center" vertical="center"/>
    </xf>
    <xf numFmtId="38" fontId="40" fillId="6" borderId="32" xfId="0" applyNumberFormat="1" applyFont="1" applyFill="1" applyBorder="1" applyAlignment="1">
      <alignment horizontal="center" vertical="center"/>
    </xf>
    <xf numFmtId="6" fontId="23" fillId="0" borderId="16" xfId="0" applyNumberFormat="1" applyFont="1" applyBorder="1" applyAlignment="1">
      <alignment horizontal="left" vertical="center"/>
    </xf>
    <xf numFmtId="6" fontId="12" fillId="0" borderId="36" xfId="0" applyNumberFormat="1" applyFont="1" applyBorder="1" applyAlignment="1">
      <alignment vertical="center"/>
    </xf>
    <xf numFmtId="6" fontId="23" fillId="0" borderId="18" xfId="0" applyNumberFormat="1" applyFont="1" applyBorder="1" applyAlignment="1">
      <alignment horizontal="left" vertical="center"/>
    </xf>
    <xf numFmtId="0" fontId="10" fillId="0" borderId="37" xfId="0" applyFont="1" applyBorder="1" applyAlignment="1">
      <alignment horizontal="center" vertical="center"/>
    </xf>
    <xf numFmtId="6" fontId="23" fillId="0" borderId="21" xfId="0" applyNumberFormat="1" applyFont="1" applyBorder="1" applyAlignment="1">
      <alignment vertical="center"/>
    </xf>
    <xf numFmtId="0" fontId="16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6" fontId="7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40" fillId="6" borderId="29" xfId="0" applyFont="1" applyFill="1" applyBorder="1" applyAlignment="1">
      <alignment horizontal="center" vertical="center"/>
    </xf>
    <xf numFmtId="5" fontId="40" fillId="6" borderId="29" xfId="0" applyNumberFormat="1" applyFont="1" applyFill="1" applyBorder="1" applyAlignment="1">
      <alignment horizontal="center" vertical="center"/>
    </xf>
    <xf numFmtId="37" fontId="40" fillId="6" borderId="32" xfId="0" applyNumberFormat="1" applyFont="1" applyFill="1" applyBorder="1" applyAlignment="1">
      <alignment horizontal="center" vertical="center"/>
    </xf>
    <xf numFmtId="0" fontId="40" fillId="6" borderId="32" xfId="0" applyFont="1" applyFill="1" applyBorder="1" applyAlignment="1">
      <alignment horizontal="center" vertical="center"/>
    </xf>
    <xf numFmtId="5" fontId="40" fillId="6" borderId="32" xfId="0" applyNumberFormat="1" applyFont="1" applyFill="1" applyBorder="1" applyAlignment="1">
      <alignment horizontal="center" vertical="center"/>
    </xf>
    <xf numFmtId="37" fontId="30" fillId="6" borderId="32" xfId="0" applyNumberFormat="1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5" fontId="8" fillId="6" borderId="32" xfId="0" applyNumberFormat="1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37" fontId="30" fillId="6" borderId="33" xfId="0" applyNumberFormat="1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center" vertical="center"/>
    </xf>
    <xf numFmtId="5" fontId="8" fillId="6" borderId="33" xfId="0" applyNumberFormat="1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37" fontId="40" fillId="6" borderId="33" xfId="0" applyNumberFormat="1" applyFont="1" applyFill="1" applyBorder="1" applyAlignment="1">
      <alignment horizontal="center" vertical="center"/>
    </xf>
    <xf numFmtId="165" fontId="23" fillId="0" borderId="18" xfId="0" applyNumberFormat="1" applyFont="1" applyBorder="1" applyAlignment="1">
      <alignment horizontal="right" vertical="center"/>
    </xf>
    <xf numFmtId="6" fontId="40" fillId="0" borderId="18" xfId="0" applyNumberFormat="1" applyFont="1" applyBorder="1" applyAlignment="1">
      <alignment horizontal="right" vertical="center"/>
    </xf>
    <xf numFmtId="0" fontId="20" fillId="0" borderId="38" xfId="0" applyFont="1" applyFill="1" applyBorder="1" applyAlignment="1">
      <alignment horizontal="center" vertical="center"/>
    </xf>
    <xf numFmtId="6" fontId="10" fillId="0" borderId="39" xfId="0" applyNumberFormat="1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right" vertical="center"/>
    </xf>
    <xf numFmtId="0" fontId="10" fillId="0" borderId="40" xfId="0" applyFont="1" applyFill="1" applyBorder="1" applyAlignment="1">
      <alignment horizontal="center" vertical="center"/>
    </xf>
    <xf numFmtId="165" fontId="10" fillId="0" borderId="40" xfId="0" applyNumberFormat="1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165" fontId="10" fillId="0" borderId="40" xfId="0" applyNumberFormat="1" applyFont="1" applyFill="1" applyBorder="1" applyAlignment="1">
      <alignment horizontal="left" vertical="center"/>
    </xf>
    <xf numFmtId="0" fontId="10" fillId="0" borderId="40" xfId="0" applyFont="1" applyFill="1" applyBorder="1" applyAlignment="1">
      <alignment horizontal="left" vertical="center"/>
    </xf>
    <xf numFmtId="0" fontId="10" fillId="0" borderId="40" xfId="0" applyFont="1" applyFill="1" applyBorder="1" applyAlignment="1">
      <alignment horizontal="right" vertical="center"/>
    </xf>
    <xf numFmtId="6" fontId="10" fillId="0" borderId="41" xfId="0" applyNumberFormat="1" applyFont="1" applyFill="1" applyBorder="1" applyAlignment="1">
      <alignment horizontal="center" vertical="center"/>
    </xf>
    <xf numFmtId="6" fontId="10" fillId="0" borderId="40" xfId="0" applyNumberFormat="1" applyFont="1" applyFill="1" applyBorder="1" applyAlignment="1">
      <alignment horizontal="center" vertical="center"/>
    </xf>
    <xf numFmtId="6" fontId="10" fillId="0" borderId="42" xfId="0" applyNumberFormat="1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6" fontId="10" fillId="0" borderId="36" xfId="0" applyNumberFormat="1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center" vertical="center"/>
    </xf>
    <xf numFmtId="165" fontId="10" fillId="0" borderId="18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165" fontId="10" fillId="0" borderId="44" xfId="0" applyNumberFormat="1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44" xfId="0" applyFont="1" applyFill="1" applyBorder="1" applyAlignment="1">
      <alignment horizontal="left" vertical="center"/>
    </xf>
    <xf numFmtId="6" fontId="10" fillId="0" borderId="45" xfId="0" applyNumberFormat="1" applyFont="1" applyFill="1" applyBorder="1" applyAlignment="1">
      <alignment horizontal="center" vertical="center"/>
    </xf>
    <xf numFmtId="6" fontId="10" fillId="0" borderId="18" xfId="0" applyNumberFormat="1" applyFont="1" applyFill="1" applyBorder="1" applyAlignment="1">
      <alignment horizontal="center" vertical="center"/>
    </xf>
    <xf numFmtId="6" fontId="10" fillId="0" borderId="46" xfId="0" applyNumberFormat="1" applyFont="1" applyFill="1" applyBorder="1" applyAlignment="1">
      <alignment horizontal="center" vertical="center"/>
    </xf>
    <xf numFmtId="0" fontId="20" fillId="3" borderId="43" xfId="0" applyFont="1" applyFill="1" applyBorder="1" applyAlignment="1">
      <alignment horizontal="center" vertical="center"/>
    </xf>
    <xf numFmtId="6" fontId="10" fillId="3" borderId="36" xfId="0" applyNumberFormat="1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right" vertical="center"/>
    </xf>
    <xf numFmtId="0" fontId="10" fillId="3" borderId="18" xfId="0" applyFont="1" applyFill="1" applyBorder="1" applyAlignment="1">
      <alignment horizontal="center" vertical="center"/>
    </xf>
    <xf numFmtId="165" fontId="10" fillId="3" borderId="18" xfId="0" applyNumberFormat="1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165" fontId="10" fillId="3" borderId="44" xfId="0" applyNumberFormat="1" applyFont="1" applyFill="1" applyBorder="1" applyAlignment="1">
      <alignment horizontal="left" vertical="center"/>
    </xf>
    <xf numFmtId="0" fontId="10" fillId="3" borderId="18" xfId="0" applyFont="1" applyFill="1" applyBorder="1" applyAlignment="1">
      <alignment horizontal="right" vertical="center"/>
    </xf>
    <xf numFmtId="0" fontId="10" fillId="3" borderId="18" xfId="0" applyFont="1" applyFill="1" applyBorder="1" applyAlignment="1">
      <alignment horizontal="left" vertical="center"/>
    </xf>
    <xf numFmtId="0" fontId="10" fillId="3" borderId="44" xfId="0" applyFont="1" applyFill="1" applyBorder="1" applyAlignment="1">
      <alignment horizontal="left" vertical="center"/>
    </xf>
    <xf numFmtId="6" fontId="10" fillId="3" borderId="45" xfId="0" applyNumberFormat="1" applyFont="1" applyFill="1" applyBorder="1" applyAlignment="1">
      <alignment horizontal="center" vertical="center"/>
    </xf>
    <xf numFmtId="6" fontId="10" fillId="3" borderId="18" xfId="0" applyNumberFormat="1" applyFont="1" applyFill="1" applyBorder="1" applyAlignment="1">
      <alignment horizontal="center" vertical="center"/>
    </xf>
    <xf numFmtId="6" fontId="10" fillId="3" borderId="46" xfId="0" applyNumberFormat="1" applyFont="1" applyFill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6" fontId="10" fillId="0" borderId="37" xfId="0" applyNumberFormat="1" applyFont="1" applyFill="1" applyBorder="1" applyAlignment="1">
      <alignment horizontal="center" vertical="center"/>
    </xf>
    <xf numFmtId="0" fontId="10" fillId="0" borderId="37" xfId="0" applyFont="1" applyBorder="1" applyAlignment="1">
      <alignment horizontal="right" vertical="center"/>
    </xf>
    <xf numFmtId="0" fontId="10" fillId="0" borderId="21" xfId="0" applyFont="1" applyBorder="1" applyAlignment="1">
      <alignment horizontal="center" vertical="center"/>
    </xf>
    <xf numFmtId="165" fontId="10" fillId="0" borderId="21" xfId="0" applyNumberFormat="1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165" fontId="10" fillId="0" borderId="48" xfId="0" applyNumberFormat="1" applyFont="1" applyBorder="1" applyAlignment="1">
      <alignment horizontal="left" vertical="center"/>
    </xf>
    <xf numFmtId="0" fontId="10" fillId="0" borderId="21" xfId="0" applyFont="1" applyBorder="1" applyAlignment="1">
      <alignment horizontal="right" vertical="center"/>
    </xf>
    <xf numFmtId="0" fontId="10" fillId="0" borderId="21" xfId="0" applyFont="1" applyBorder="1" applyAlignment="1">
      <alignment horizontal="left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48" xfId="0" applyFont="1" applyBorder="1" applyAlignment="1">
      <alignment horizontal="left" vertical="center"/>
    </xf>
    <xf numFmtId="6" fontId="10" fillId="0" borderId="49" xfId="0" applyNumberFormat="1" applyFont="1" applyFill="1" applyBorder="1" applyAlignment="1">
      <alignment horizontal="center" vertical="center"/>
    </xf>
    <xf numFmtId="6" fontId="10" fillId="0" borderId="21" xfId="0" applyNumberFormat="1" applyFont="1" applyFill="1" applyBorder="1" applyAlignment="1">
      <alignment horizontal="center" vertical="center"/>
    </xf>
    <xf numFmtId="6" fontId="10" fillId="0" borderId="50" xfId="0" applyNumberFormat="1" applyFont="1" applyFill="1" applyBorder="1" applyAlignment="1">
      <alignment horizontal="center" vertical="center"/>
    </xf>
    <xf numFmtId="6" fontId="10" fillId="0" borderId="51" xfId="0" applyNumberFormat="1" applyFont="1" applyFill="1" applyBorder="1" applyAlignment="1">
      <alignment horizontal="center" vertical="center"/>
    </xf>
    <xf numFmtId="165" fontId="10" fillId="0" borderId="42" xfId="0" applyNumberFormat="1" applyFont="1" applyFill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6" fontId="10" fillId="0" borderId="52" xfId="0" applyNumberFormat="1" applyFont="1" applyFill="1" applyBorder="1" applyAlignment="1">
      <alignment horizontal="center" vertical="center"/>
    </xf>
    <xf numFmtId="0" fontId="10" fillId="0" borderId="36" xfId="0" applyFont="1" applyBorder="1" applyAlignment="1">
      <alignment horizontal="right" vertical="center"/>
    </xf>
    <xf numFmtId="0" fontId="10" fillId="0" borderId="18" xfId="0" applyFont="1" applyBorder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65" fontId="10" fillId="0" borderId="18" xfId="0" applyNumberFormat="1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8" xfId="0" applyFont="1" applyBorder="1" applyAlignment="1">
      <alignment horizontal="right" vertical="center"/>
    </xf>
    <xf numFmtId="165" fontId="10" fillId="0" borderId="46" xfId="0" applyNumberFormat="1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6" fontId="10" fillId="0" borderId="53" xfId="0" applyNumberFormat="1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right" vertical="center"/>
    </xf>
    <xf numFmtId="0" fontId="13" fillId="0" borderId="21" xfId="0" applyFont="1" applyFill="1" applyBorder="1" applyAlignment="1">
      <alignment horizontal="center" vertical="center"/>
    </xf>
    <xf numFmtId="165" fontId="10" fillId="0" borderId="21" xfId="0" applyNumberFormat="1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right" vertical="center"/>
    </xf>
    <xf numFmtId="165" fontId="10" fillId="0" borderId="50" xfId="0" applyNumberFormat="1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165" fontId="10" fillId="0" borderId="18" xfId="0" applyNumberFormat="1" applyFont="1" applyFill="1" applyBorder="1" applyAlignment="1">
      <alignment horizontal="left" vertical="center"/>
    </xf>
    <xf numFmtId="0" fontId="26" fillId="3" borderId="43" xfId="0" applyFont="1" applyFill="1" applyBorder="1" applyAlignment="1">
      <alignment horizontal="center" vertical="center"/>
    </xf>
    <xf numFmtId="165" fontId="10" fillId="3" borderId="18" xfId="0" applyNumberFormat="1" applyFont="1" applyFill="1" applyBorder="1" applyAlignment="1">
      <alignment horizontal="left" vertical="center"/>
    </xf>
    <xf numFmtId="0" fontId="26" fillId="0" borderId="47" xfId="0" applyFont="1" applyFill="1" applyBorder="1" applyAlignment="1">
      <alignment horizontal="center" vertical="center"/>
    </xf>
    <xf numFmtId="49" fontId="26" fillId="0" borderId="54" xfId="0" applyNumberFormat="1" applyFont="1" applyFill="1" applyBorder="1" applyAlignment="1">
      <alignment horizontal="center" vertical="center"/>
    </xf>
    <xf numFmtId="6" fontId="30" fillId="0" borderId="39" xfId="0" applyNumberFormat="1" applyFont="1" applyBorder="1" applyAlignment="1">
      <alignment horizontal="center" vertical="center"/>
    </xf>
    <xf numFmtId="37" fontId="31" fillId="0" borderId="39" xfId="0" applyNumberFormat="1" applyFont="1" applyFill="1" applyBorder="1" applyAlignment="1">
      <alignment horizontal="center" vertical="center"/>
    </xf>
    <xf numFmtId="49" fontId="26" fillId="0" borderId="55" xfId="0" applyNumberFormat="1" applyFont="1" applyFill="1" applyBorder="1" applyAlignment="1">
      <alignment horizontal="center" vertical="center"/>
    </xf>
    <xf numFmtId="6" fontId="30" fillId="0" borderId="36" xfId="0" applyNumberFormat="1" applyFont="1" applyBorder="1" applyAlignment="1">
      <alignment horizontal="center" vertical="center"/>
    </xf>
    <xf numFmtId="37" fontId="31" fillId="0" borderId="36" xfId="0" applyNumberFormat="1" applyFont="1" applyFill="1" applyBorder="1" applyAlignment="1">
      <alignment horizontal="center" vertical="center"/>
    </xf>
    <xf numFmtId="49" fontId="26" fillId="0" borderId="56" xfId="0" applyNumberFormat="1" applyFont="1" applyFill="1" applyBorder="1" applyAlignment="1">
      <alignment horizontal="center" vertical="center"/>
    </xf>
    <xf numFmtId="6" fontId="30" fillId="0" borderId="37" xfId="0" applyNumberFormat="1" applyFont="1" applyBorder="1" applyAlignment="1">
      <alignment horizontal="center" vertical="center"/>
    </xf>
    <xf numFmtId="37" fontId="31" fillId="0" borderId="37" xfId="0" applyNumberFormat="1" applyFont="1" applyFill="1" applyBorder="1" applyAlignment="1">
      <alignment horizontal="center" vertical="center"/>
    </xf>
    <xf numFmtId="165" fontId="10" fillId="0" borderId="21" xfId="0" applyNumberFormat="1" applyFont="1" applyBorder="1" applyAlignment="1">
      <alignment horizontal="center" vertical="center"/>
    </xf>
    <xf numFmtId="165" fontId="10" fillId="0" borderId="21" xfId="0" applyNumberFormat="1" applyFont="1" applyBorder="1" applyAlignment="1">
      <alignment horizontal="left" vertical="center"/>
    </xf>
    <xf numFmtId="49" fontId="23" fillId="0" borderId="39" xfId="0" applyNumberFormat="1" applyFont="1" applyBorder="1" applyAlignment="1">
      <alignment horizontal="left" vertical="center" indent="1"/>
    </xf>
    <xf numFmtId="0" fontId="10" fillId="0" borderId="57" xfId="0" applyFont="1" applyFill="1" applyBorder="1" applyAlignment="1">
      <alignment horizontal="left" vertical="center"/>
    </xf>
    <xf numFmtId="49" fontId="23" fillId="0" borderId="36" xfId="0" applyNumberFormat="1" applyFont="1" applyBorder="1" applyAlignment="1">
      <alignment horizontal="left" vertical="center" indent="1"/>
    </xf>
    <xf numFmtId="0" fontId="10" fillId="0" borderId="44" xfId="0" applyFont="1" applyBorder="1" applyAlignment="1">
      <alignment horizontal="left" vertical="center"/>
    </xf>
    <xf numFmtId="49" fontId="23" fillId="0" borderId="36" xfId="0" applyNumberFormat="1" applyFont="1" applyFill="1" applyBorder="1" applyAlignment="1">
      <alignment horizontal="left" vertical="center" indent="1"/>
    </xf>
    <xf numFmtId="0" fontId="4" fillId="0" borderId="36" xfId="0" applyFont="1" applyFill="1" applyBorder="1" applyAlignment="1">
      <alignment horizontal="left" vertical="center" indent="1"/>
    </xf>
    <xf numFmtId="0" fontId="4" fillId="0" borderId="36" xfId="0" applyFont="1" applyBorder="1" applyAlignment="1">
      <alignment horizontal="left" vertical="center" indent="1"/>
    </xf>
    <xf numFmtId="0" fontId="4" fillId="0" borderId="37" xfId="0" applyFont="1" applyBorder="1" applyAlignment="1">
      <alignment horizontal="left" vertical="center" indent="1"/>
    </xf>
    <xf numFmtId="0" fontId="10" fillId="0" borderId="48" xfId="0" applyFont="1" applyFill="1" applyBorder="1" applyAlignment="1">
      <alignment horizontal="left" vertical="center"/>
    </xf>
    <xf numFmtId="49" fontId="26" fillId="0" borderId="38" xfId="0" applyNumberFormat="1" applyFont="1" applyFill="1" applyBorder="1" applyAlignment="1">
      <alignment horizontal="center" vertical="center"/>
    </xf>
    <xf numFmtId="37" fontId="31" fillId="0" borderId="39" xfId="0" applyNumberFormat="1" applyFont="1" applyFill="1" applyBorder="1" applyAlignment="1">
      <alignment horizontal="right" vertical="center"/>
    </xf>
    <xf numFmtId="38" fontId="31" fillId="0" borderId="36" xfId="0" applyNumberFormat="1" applyFont="1" applyFill="1" applyBorder="1" applyAlignment="1">
      <alignment horizontal="right" vertical="center"/>
    </xf>
    <xf numFmtId="38" fontId="31" fillId="0" borderId="37" xfId="0" applyNumberFormat="1" applyFont="1" applyFill="1" applyBorder="1" applyAlignment="1">
      <alignment horizontal="right" vertical="center"/>
    </xf>
    <xf numFmtId="165" fontId="11" fillId="2" borderId="2" xfId="0" applyNumberFormat="1" applyFont="1" applyFill="1" applyBorder="1" applyAlignment="1">
      <alignment vertical="center"/>
    </xf>
    <xf numFmtId="0" fontId="21" fillId="2" borderId="2" xfId="0" applyFont="1" applyFill="1" applyBorder="1" applyAlignment="1">
      <alignment horizontal="left" vertical="center"/>
    </xf>
    <xf numFmtId="0" fontId="22" fillId="2" borderId="2" xfId="0" applyFont="1" applyFill="1" applyBorder="1" applyAlignment="1">
      <alignment vertical="center"/>
    </xf>
    <xf numFmtId="0" fontId="21" fillId="2" borderId="2" xfId="0" applyFont="1" applyFill="1" applyBorder="1" applyAlignment="1">
      <alignment vertical="center"/>
    </xf>
    <xf numFmtId="0" fontId="23" fillId="3" borderId="5" xfId="0" applyFont="1" applyFill="1" applyBorder="1" applyAlignment="1">
      <alignment horizontal="center" vertical="center"/>
    </xf>
    <xf numFmtId="0" fontId="23" fillId="3" borderId="6" xfId="0" applyFont="1" applyFill="1" applyBorder="1" applyAlignment="1">
      <alignment horizontal="center" vertical="center"/>
    </xf>
    <xf numFmtId="2" fontId="12" fillId="3" borderId="6" xfId="0" applyNumberFormat="1" applyFont="1" applyFill="1" applyBorder="1" applyAlignment="1">
      <alignment vertical="center"/>
    </xf>
    <xf numFmtId="0" fontId="23" fillId="3" borderId="7" xfId="0" applyFont="1" applyFill="1" applyBorder="1" applyAlignment="1">
      <alignment vertical="center"/>
    </xf>
    <xf numFmtId="0" fontId="23" fillId="3" borderId="7" xfId="0" applyFont="1" applyFill="1" applyBorder="1" applyAlignment="1">
      <alignment horizontal="centerContinuous" vertical="center"/>
    </xf>
    <xf numFmtId="165" fontId="11" fillId="4" borderId="0" xfId="0" applyNumberFormat="1" applyFont="1" applyFill="1" applyAlignment="1">
      <alignment horizontal="left" vertical="center"/>
    </xf>
    <xf numFmtId="0" fontId="16" fillId="4" borderId="0" xfId="0" applyFont="1" applyFill="1" applyAlignment="1">
      <alignment vertical="center"/>
    </xf>
    <xf numFmtId="2" fontId="10" fillId="4" borderId="0" xfId="0" applyNumberFormat="1" applyFont="1" applyFill="1" applyAlignment="1">
      <alignment vertical="center"/>
    </xf>
    <xf numFmtId="165" fontId="10" fillId="4" borderId="0" xfId="0" applyNumberFormat="1" applyFont="1" applyFill="1" applyAlignment="1">
      <alignment horizontal="center" vertical="center"/>
    </xf>
    <xf numFmtId="0" fontId="16" fillId="2" borderId="2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5" borderId="0" xfId="0" applyFont="1" applyFill="1" applyAlignment="1">
      <alignment horizontal="center"/>
    </xf>
    <xf numFmtId="0" fontId="51" fillId="0" borderId="0" xfId="0" applyFont="1" applyAlignment="1">
      <alignment/>
    </xf>
    <xf numFmtId="166" fontId="10" fillId="6" borderId="58" xfId="19" applyNumberFormat="1" applyFont="1" applyFill="1" applyBorder="1" applyAlignment="1">
      <alignment horizontal="center" vertical="center"/>
    </xf>
    <xf numFmtId="6" fontId="4" fillId="5" borderId="23" xfId="0" applyNumberFormat="1" applyFont="1" applyFill="1" applyBorder="1" applyAlignment="1">
      <alignment horizontal="left" vertical="center"/>
    </xf>
    <xf numFmtId="37" fontId="6" fillId="6" borderId="15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vertical="top"/>
    </xf>
    <xf numFmtId="0" fontId="51" fillId="0" borderId="0" xfId="0" applyFont="1" applyAlignment="1">
      <alignment/>
    </xf>
    <xf numFmtId="0" fontId="55" fillId="2" borderId="59" xfId="0" applyFont="1" applyFill="1" applyBorder="1" applyAlignment="1">
      <alignment vertical="center"/>
    </xf>
    <xf numFmtId="0" fontId="55" fillId="2" borderId="60" xfId="0" applyFont="1" applyFill="1" applyBorder="1" applyAlignment="1">
      <alignment horizontal="center" vertical="center"/>
    </xf>
    <xf numFmtId="0" fontId="49" fillId="0" borderId="61" xfId="0" applyFont="1" applyBorder="1" applyAlignment="1">
      <alignment horizontal="left" vertical="top"/>
    </xf>
    <xf numFmtId="0" fontId="49" fillId="0" borderId="62" xfId="0" applyFont="1" applyBorder="1" applyAlignment="1">
      <alignment horizontal="left" vertical="top"/>
    </xf>
    <xf numFmtId="0" fontId="49" fillId="0" borderId="63" xfId="0" applyFont="1" applyBorder="1" applyAlignment="1">
      <alignment horizontal="left" vertical="top"/>
    </xf>
    <xf numFmtId="44" fontId="49" fillId="0" borderId="64" xfId="17" applyFont="1" applyBorder="1" applyAlignment="1">
      <alignment horizontal="left" vertical="center"/>
    </xf>
    <xf numFmtId="44" fontId="49" fillId="0" borderId="65" xfId="17" applyFont="1" applyBorder="1" applyAlignment="1">
      <alignment horizontal="left" vertical="center"/>
    </xf>
    <xf numFmtId="44" fontId="49" fillId="0" borderId="66" xfId="17" applyFont="1" applyBorder="1" applyAlignment="1">
      <alignment horizontal="left" vertical="center"/>
    </xf>
    <xf numFmtId="44" fontId="49" fillId="0" borderId="67" xfId="17" applyFont="1" applyBorder="1" applyAlignment="1">
      <alignment horizontal="left"/>
    </xf>
    <xf numFmtId="44" fontId="49" fillId="0" borderId="68" xfId="17" applyFont="1" applyBorder="1" applyAlignment="1">
      <alignment horizontal="left"/>
    </xf>
    <xf numFmtId="44" fontId="49" fillId="0" borderId="69" xfId="17" applyFont="1" applyBorder="1" applyAlignment="1">
      <alignment horizontal="left"/>
    </xf>
    <xf numFmtId="0" fontId="52" fillId="6" borderId="25" xfId="0" applyFont="1" applyFill="1" applyBorder="1" applyAlignment="1">
      <alignment horizontal="center" vertical="center"/>
    </xf>
    <xf numFmtId="0" fontId="52" fillId="6" borderId="14" xfId="0" applyFont="1" applyFill="1" applyBorder="1" applyAlignment="1">
      <alignment horizontal="center" vertical="center"/>
    </xf>
    <xf numFmtId="0" fontId="52" fillId="6" borderId="70" xfId="0" applyFont="1" applyFill="1" applyBorder="1" applyAlignment="1">
      <alignment horizontal="center" vertical="center"/>
    </xf>
    <xf numFmtId="0" fontId="49" fillId="0" borderId="71" xfId="0" applyFont="1" applyBorder="1" applyAlignment="1">
      <alignment horizontal="left" vertical="center"/>
    </xf>
    <xf numFmtId="0" fontId="49" fillId="0" borderId="72" xfId="0" applyFont="1" applyBorder="1" applyAlignment="1">
      <alignment horizontal="left" vertical="center"/>
    </xf>
    <xf numFmtId="0" fontId="49" fillId="0" borderId="73" xfId="0" applyFont="1" applyBorder="1" applyAlignment="1">
      <alignment horizontal="left" vertical="center"/>
    </xf>
    <xf numFmtId="0" fontId="49" fillId="0" borderId="67" xfId="0" applyFont="1" applyBorder="1" applyAlignment="1">
      <alignment horizontal="left"/>
    </xf>
    <xf numFmtId="0" fontId="49" fillId="0" borderId="68" xfId="0" applyFont="1" applyBorder="1" applyAlignment="1">
      <alignment horizontal="left"/>
    </xf>
    <xf numFmtId="0" fontId="49" fillId="0" borderId="69" xfId="0" applyFont="1" applyBorder="1" applyAlignment="1">
      <alignment horizontal="left"/>
    </xf>
    <xf numFmtId="0" fontId="49" fillId="0" borderId="74" xfId="0" applyFont="1" applyBorder="1" applyAlignment="1">
      <alignment horizontal="left" vertical="top"/>
    </xf>
    <xf numFmtId="0" fontId="49" fillId="0" borderId="0" xfId="0" applyFont="1" applyBorder="1" applyAlignment="1">
      <alignment horizontal="left" vertical="top"/>
    </xf>
    <xf numFmtId="0" fontId="49" fillId="0" borderId="75" xfId="0" applyFont="1" applyBorder="1" applyAlignment="1">
      <alignment horizontal="left" vertical="top"/>
    </xf>
    <xf numFmtId="0" fontId="53" fillId="0" borderId="0" xfId="0" applyFont="1" applyAlignment="1">
      <alignment horizontal="center" vertical="center"/>
    </xf>
    <xf numFmtId="0" fontId="49" fillId="0" borderId="64" xfId="0" applyFont="1" applyBorder="1" applyAlignment="1">
      <alignment horizontal="left" vertical="center"/>
    </xf>
    <xf numFmtId="0" fontId="49" fillId="0" borderId="65" xfId="0" applyFont="1" applyBorder="1" applyAlignment="1">
      <alignment horizontal="left" vertical="center"/>
    </xf>
    <xf numFmtId="0" fontId="49" fillId="0" borderId="66" xfId="0" applyFont="1" applyBorder="1" applyAlignment="1">
      <alignment horizontal="left" vertical="center"/>
    </xf>
    <xf numFmtId="0" fontId="49" fillId="0" borderId="76" xfId="0" applyFont="1" applyBorder="1" applyAlignment="1">
      <alignment horizontal="left" vertical="center"/>
    </xf>
    <xf numFmtId="0" fontId="49" fillId="0" borderId="77" xfId="0" applyFont="1" applyBorder="1" applyAlignment="1">
      <alignment horizontal="left" vertical="center"/>
    </xf>
    <xf numFmtId="0" fontId="49" fillId="0" borderId="78" xfId="0" applyFont="1" applyBorder="1" applyAlignment="1">
      <alignment horizontal="left" vertical="center"/>
    </xf>
    <xf numFmtId="165" fontId="40" fillId="0" borderId="79" xfId="0" applyNumberFormat="1" applyFont="1" applyBorder="1" applyAlignment="1">
      <alignment horizontal="center" vertical="center" wrapText="1"/>
    </xf>
    <xf numFmtId="165" fontId="40" fillId="0" borderId="80" xfId="0" applyNumberFormat="1" applyFont="1" applyBorder="1" applyAlignment="1">
      <alignment horizontal="center" vertical="center" wrapText="1"/>
    </xf>
    <xf numFmtId="165" fontId="40" fillId="0" borderId="79" xfId="0" applyNumberFormat="1" applyFont="1" applyBorder="1" applyAlignment="1">
      <alignment horizontal="center" vertical="center" shrinkToFit="1"/>
    </xf>
    <xf numFmtId="165" fontId="40" fillId="0" borderId="81" xfId="0" applyNumberFormat="1" applyFont="1" applyBorder="1" applyAlignment="1">
      <alignment horizontal="center" vertical="center" shrinkToFit="1"/>
    </xf>
    <xf numFmtId="6" fontId="40" fillId="0" borderId="82" xfId="0" applyNumberFormat="1" applyFont="1" applyFill="1" applyBorder="1" applyAlignment="1">
      <alignment horizontal="center" vertical="center" wrapText="1"/>
    </xf>
    <xf numFmtId="6" fontId="40" fillId="0" borderId="81" xfId="0" applyNumberFormat="1" applyFont="1" applyFill="1" applyBorder="1" applyAlignment="1">
      <alignment horizontal="center" vertical="center" wrapText="1"/>
    </xf>
    <xf numFmtId="6" fontId="40" fillId="0" borderId="80" xfId="0" applyNumberFormat="1" applyFont="1" applyFill="1" applyBorder="1" applyAlignment="1">
      <alignment horizontal="center" vertical="center" wrapText="1"/>
    </xf>
    <xf numFmtId="0" fontId="16" fillId="0" borderId="83" xfId="0" applyFont="1" applyBorder="1" applyAlignment="1">
      <alignment horizontal="center" vertical="center"/>
    </xf>
    <xf numFmtId="0" fontId="16" fillId="0" borderId="81" xfId="0" applyFont="1" applyBorder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44" fillId="5" borderId="0" xfId="0" applyFont="1" applyFill="1" applyAlignment="1">
      <alignment horizontal="center" vertical="center" wrapText="1"/>
    </xf>
    <xf numFmtId="0" fontId="46" fillId="5" borderId="0" xfId="0" applyFont="1" applyFill="1" applyAlignment="1">
      <alignment horizontal="center" vertical="center" wrapText="1"/>
    </xf>
    <xf numFmtId="164" fontId="21" fillId="2" borderId="2" xfId="0" applyNumberFormat="1" applyFont="1" applyFill="1" applyBorder="1" applyAlignment="1">
      <alignment horizontal="left" vertical="center"/>
    </xf>
    <xf numFmtId="0" fontId="24" fillId="3" borderId="7" xfId="0" applyFont="1" applyFill="1" applyBorder="1" applyAlignment="1">
      <alignment horizontal="center"/>
    </xf>
    <xf numFmtId="0" fontId="24" fillId="3" borderId="84" xfId="0" applyFont="1" applyFill="1" applyBorder="1" applyAlignment="1">
      <alignment horizontal="center"/>
    </xf>
    <xf numFmtId="0" fontId="21" fillId="3" borderId="7" xfId="0" applyFont="1" applyFill="1" applyBorder="1" applyAlignment="1">
      <alignment horizontal="center"/>
    </xf>
    <xf numFmtId="0" fontId="21" fillId="3" borderId="84" xfId="0" applyFont="1" applyFill="1" applyBorder="1" applyAlignment="1">
      <alignment horizontal="center"/>
    </xf>
    <xf numFmtId="0" fontId="25" fillId="3" borderId="6" xfId="0" applyFont="1" applyFill="1" applyBorder="1" applyAlignment="1">
      <alignment horizontal="center"/>
    </xf>
    <xf numFmtId="0" fontId="25" fillId="3" borderId="7" xfId="0" applyFont="1" applyFill="1" applyBorder="1" applyAlignment="1">
      <alignment horizontal="center"/>
    </xf>
    <xf numFmtId="0" fontId="25" fillId="3" borderId="84" xfId="0" applyFont="1" applyFill="1" applyBorder="1" applyAlignment="1">
      <alignment horizontal="center"/>
    </xf>
    <xf numFmtId="0" fontId="20" fillId="3" borderId="85" xfId="0" applyFont="1" applyFill="1" applyBorder="1" applyAlignment="1">
      <alignment horizontal="center" vertical="center"/>
    </xf>
    <xf numFmtId="0" fontId="20" fillId="3" borderId="86" xfId="0" applyFont="1" applyFill="1" applyBorder="1" applyAlignment="1">
      <alignment horizontal="center" vertical="center"/>
    </xf>
    <xf numFmtId="0" fontId="20" fillId="3" borderId="87" xfId="0" applyFont="1" applyFill="1" applyBorder="1" applyAlignment="1">
      <alignment horizontal="center" vertical="center"/>
    </xf>
    <xf numFmtId="6" fontId="43" fillId="5" borderId="25" xfId="0" applyNumberFormat="1" applyFont="1" applyFill="1" applyBorder="1" applyAlignment="1">
      <alignment horizontal="center" vertical="center" wrapText="1"/>
    </xf>
    <xf numFmtId="6" fontId="43" fillId="5" borderId="14" xfId="0" applyNumberFormat="1" applyFont="1" applyFill="1" applyBorder="1" applyAlignment="1">
      <alignment horizontal="center" vertical="center" wrapText="1"/>
    </xf>
    <xf numFmtId="6" fontId="43" fillId="5" borderId="70" xfId="0" applyNumberFormat="1" applyFont="1" applyFill="1" applyBorder="1" applyAlignment="1">
      <alignment horizontal="center" vertical="center" wrapText="1"/>
    </xf>
    <xf numFmtId="6" fontId="43" fillId="5" borderId="9" xfId="0" applyNumberFormat="1" applyFont="1" applyFill="1" applyBorder="1" applyAlignment="1">
      <alignment horizontal="center" vertical="center" wrapText="1"/>
    </xf>
    <xf numFmtId="6" fontId="43" fillId="5" borderId="10" xfId="0" applyNumberFormat="1" applyFont="1" applyFill="1" applyBorder="1" applyAlignment="1">
      <alignment horizontal="center" vertical="center" wrapText="1"/>
    </xf>
    <xf numFmtId="6" fontId="43" fillId="5" borderId="11" xfId="0" applyNumberFormat="1" applyFont="1" applyFill="1" applyBorder="1" applyAlignment="1">
      <alignment horizontal="center" vertical="center" wrapText="1"/>
    </xf>
    <xf numFmtId="6" fontId="21" fillId="6" borderId="58" xfId="0" applyNumberFormat="1" applyFont="1" applyFill="1" applyBorder="1" applyAlignment="1">
      <alignment horizontal="center" vertical="center"/>
    </xf>
    <xf numFmtId="6" fontId="21" fillId="6" borderId="23" xfId="0" applyNumberFormat="1" applyFont="1" applyFill="1" applyBorder="1" applyAlignment="1">
      <alignment horizontal="center" vertical="center"/>
    </xf>
    <xf numFmtId="6" fontId="21" fillId="6" borderId="24" xfId="0" applyNumberFormat="1" applyFont="1" applyFill="1" applyBorder="1" applyAlignment="1">
      <alignment horizontal="center" vertical="center"/>
    </xf>
    <xf numFmtId="8" fontId="21" fillId="2" borderId="2" xfId="0" applyNumberFormat="1" applyFont="1" applyFill="1" applyBorder="1" applyAlignment="1">
      <alignment horizontal="left" vertical="center"/>
    </xf>
    <xf numFmtId="0" fontId="25" fillId="3" borderId="6" xfId="0" applyFont="1" applyFill="1" applyBorder="1" applyAlignment="1">
      <alignment horizontal="center" vertical="center"/>
    </xf>
    <xf numFmtId="0" fontId="25" fillId="3" borderId="7" xfId="0" applyFont="1" applyFill="1" applyBorder="1" applyAlignment="1">
      <alignment horizontal="center" vertical="center"/>
    </xf>
    <xf numFmtId="0" fontId="25" fillId="3" borderId="84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/>
    </xf>
    <xf numFmtId="0" fontId="25" fillId="3" borderId="11" xfId="0" applyFont="1" applyFill="1" applyBorder="1" applyAlignment="1">
      <alignment horizontal="center" vertical="center"/>
    </xf>
    <xf numFmtId="6" fontId="42" fillId="5" borderId="25" xfId="0" applyNumberFormat="1" applyFont="1" applyFill="1" applyBorder="1" applyAlignment="1">
      <alignment horizontal="center" vertical="center" wrapText="1"/>
    </xf>
    <xf numFmtId="6" fontId="42" fillId="5" borderId="14" xfId="0" applyNumberFormat="1" applyFont="1" applyFill="1" applyBorder="1" applyAlignment="1">
      <alignment horizontal="center" vertical="center" wrapText="1"/>
    </xf>
    <xf numFmtId="6" fontId="42" fillId="5" borderId="70" xfId="0" applyNumberFormat="1" applyFont="1" applyFill="1" applyBorder="1" applyAlignment="1">
      <alignment horizontal="center" vertical="center" wrapText="1"/>
    </xf>
    <xf numFmtId="6" fontId="42" fillId="5" borderId="9" xfId="0" applyNumberFormat="1" applyFont="1" applyFill="1" applyBorder="1" applyAlignment="1">
      <alignment horizontal="center" vertical="center" wrapText="1"/>
    </xf>
    <xf numFmtId="6" fontId="42" fillId="5" borderId="10" xfId="0" applyNumberFormat="1" applyFont="1" applyFill="1" applyBorder="1" applyAlignment="1">
      <alignment horizontal="center" vertical="center" wrapText="1"/>
    </xf>
    <xf numFmtId="6" fontId="42" fillId="5" borderId="11" xfId="0" applyNumberFormat="1" applyFont="1" applyFill="1" applyBorder="1" applyAlignment="1">
      <alignment horizontal="center" vertical="center" wrapText="1"/>
    </xf>
    <xf numFmtId="165" fontId="15" fillId="6" borderId="58" xfId="0" applyNumberFormat="1" applyFont="1" applyFill="1" applyBorder="1" applyAlignment="1">
      <alignment horizontal="center"/>
    </xf>
    <xf numFmtId="165" fontId="15" fillId="6" borderId="24" xfId="0" applyNumberFormat="1" applyFont="1" applyFill="1" applyBorder="1" applyAlignment="1">
      <alignment horizontal="center"/>
    </xf>
    <xf numFmtId="6" fontId="42" fillId="5" borderId="5" xfId="0" applyNumberFormat="1" applyFont="1" applyFill="1" applyBorder="1" applyAlignment="1">
      <alignment horizontal="center"/>
    </xf>
    <xf numFmtId="6" fontId="42" fillId="5" borderId="7" xfId="0" applyNumberFormat="1" applyFont="1" applyFill="1" applyBorder="1" applyAlignment="1">
      <alignment horizontal="center"/>
    </xf>
    <xf numFmtId="6" fontId="42" fillId="5" borderId="88" xfId="0" applyNumberFormat="1" applyFont="1" applyFill="1" applyBorder="1" applyAlignment="1">
      <alignment horizontal="center"/>
    </xf>
    <xf numFmtId="6" fontId="42" fillId="5" borderId="89" xfId="0" applyNumberFormat="1" applyFont="1" applyFill="1" applyBorder="1" applyAlignment="1">
      <alignment horizontal="center" vertical="center"/>
    </xf>
    <xf numFmtId="6" fontId="42" fillId="5" borderId="0" xfId="0" applyNumberFormat="1" applyFont="1" applyFill="1" applyBorder="1" applyAlignment="1">
      <alignment horizontal="center" vertical="center"/>
    </xf>
    <xf numFmtId="6" fontId="42" fillId="5" borderId="90" xfId="0" applyNumberFormat="1" applyFont="1" applyFill="1" applyBorder="1" applyAlignment="1">
      <alignment horizontal="center" vertical="center"/>
    </xf>
    <xf numFmtId="6" fontId="7" fillId="5" borderId="91" xfId="0" applyNumberFormat="1" applyFont="1" applyFill="1" applyBorder="1" applyAlignment="1">
      <alignment horizontal="center" vertical="center"/>
    </xf>
    <xf numFmtId="6" fontId="7" fillId="5" borderId="70" xfId="0" applyNumberFormat="1" applyFont="1" applyFill="1" applyBorder="1" applyAlignment="1">
      <alignment horizontal="center" vertical="center"/>
    </xf>
    <xf numFmtId="0" fontId="13" fillId="0" borderId="92" xfId="0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0" fontId="13" fillId="0" borderId="93" xfId="0" applyFont="1" applyBorder="1" applyAlignment="1">
      <alignment horizontal="right" vertical="center"/>
    </xf>
    <xf numFmtId="165" fontId="16" fillId="0" borderId="94" xfId="0" applyNumberFormat="1" applyFont="1" applyBorder="1" applyAlignment="1">
      <alignment horizontal="center" vertical="center"/>
    </xf>
    <xf numFmtId="165" fontId="16" fillId="0" borderId="16" xfId="0" applyNumberFormat="1" applyFont="1" applyBorder="1" applyAlignment="1">
      <alignment horizontal="center" vertical="center"/>
    </xf>
    <xf numFmtId="6" fontId="10" fillId="0" borderId="16" xfId="0" applyNumberFormat="1" applyFont="1" applyBorder="1" applyAlignment="1">
      <alignment horizontal="left" vertical="center" shrinkToFit="1"/>
    </xf>
    <xf numFmtId="6" fontId="10" fillId="0" borderId="16" xfId="0" applyNumberFormat="1" applyFont="1" applyBorder="1" applyAlignment="1">
      <alignment horizontal="right" vertical="center" shrinkToFit="1"/>
    </xf>
    <xf numFmtId="6" fontId="10" fillId="0" borderId="16" xfId="0" applyNumberFormat="1" applyFont="1" applyBorder="1" applyAlignment="1">
      <alignment horizontal="center" vertical="center" shrinkToFit="1"/>
    </xf>
    <xf numFmtId="49" fontId="10" fillId="0" borderId="16" xfId="0" applyNumberFormat="1" applyFont="1" applyBorder="1" applyAlignment="1">
      <alignment horizontal="center" vertical="center" shrinkToFit="1"/>
    </xf>
    <xf numFmtId="6" fontId="40" fillId="6" borderId="83" xfId="0" applyNumberFormat="1" applyFont="1" applyFill="1" applyBorder="1" applyAlignment="1">
      <alignment horizontal="center" vertical="center"/>
    </xf>
    <xf numFmtId="6" fontId="40" fillId="6" borderId="95" xfId="0" applyNumberFormat="1" applyFont="1" applyFill="1" applyBorder="1" applyAlignment="1">
      <alignment horizontal="center" vertical="center"/>
    </xf>
    <xf numFmtId="0" fontId="13" fillId="0" borderId="43" xfId="0" applyFont="1" applyBorder="1" applyAlignment="1">
      <alignment horizontal="right" vertical="center"/>
    </xf>
    <xf numFmtId="0" fontId="13" fillId="0" borderId="18" xfId="0" applyFont="1" applyBorder="1" applyAlignment="1">
      <alignment horizontal="right" vertical="center"/>
    </xf>
    <xf numFmtId="0" fontId="13" fillId="0" borderId="96" xfId="0" applyFont="1" applyBorder="1" applyAlignment="1">
      <alignment horizontal="right" vertical="center"/>
    </xf>
    <xf numFmtId="6" fontId="16" fillId="0" borderId="97" xfId="0" applyNumberFormat="1" applyFont="1" applyBorder="1" applyAlignment="1">
      <alignment horizontal="center" vertical="center"/>
    </xf>
    <xf numFmtId="6" fontId="16" fillId="0" borderId="18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left" vertical="center"/>
    </xf>
    <xf numFmtId="9" fontId="42" fillId="5" borderId="58" xfId="0" applyNumberFormat="1" applyFont="1" applyFill="1" applyBorder="1" applyAlignment="1">
      <alignment horizontal="center"/>
    </xf>
    <xf numFmtId="9" fontId="42" fillId="5" borderId="23" xfId="0" applyNumberFormat="1" applyFont="1" applyFill="1" applyBorder="1" applyAlignment="1">
      <alignment horizontal="center"/>
    </xf>
    <xf numFmtId="9" fontId="42" fillId="5" borderId="24" xfId="0" applyNumberFormat="1" applyFont="1" applyFill="1" applyBorder="1" applyAlignment="1">
      <alignment horizontal="center"/>
    </xf>
    <xf numFmtId="6" fontId="31" fillId="6" borderId="58" xfId="0" applyNumberFormat="1" applyFont="1" applyFill="1" applyBorder="1" applyAlignment="1">
      <alignment horizontal="center" vertical="center"/>
    </xf>
    <xf numFmtId="6" fontId="31" fillId="6" borderId="23" xfId="0" applyNumberFormat="1" applyFont="1" applyFill="1" applyBorder="1" applyAlignment="1">
      <alignment horizontal="center" vertical="center"/>
    </xf>
    <xf numFmtId="6" fontId="31" fillId="6" borderId="24" xfId="0" applyNumberFormat="1" applyFont="1" applyFill="1" applyBorder="1" applyAlignment="1">
      <alignment horizontal="center" vertical="center"/>
    </xf>
    <xf numFmtId="0" fontId="13" fillId="0" borderId="47" xfId="0" applyFont="1" applyBorder="1" applyAlignment="1">
      <alignment horizontal="right" vertical="center"/>
    </xf>
    <xf numFmtId="0" fontId="13" fillId="0" borderId="21" xfId="0" applyFont="1" applyBorder="1" applyAlignment="1">
      <alignment horizontal="right" vertical="center"/>
    </xf>
    <xf numFmtId="0" fontId="13" fillId="0" borderId="98" xfId="0" applyFont="1" applyBorder="1" applyAlignment="1">
      <alignment horizontal="right" vertical="center"/>
    </xf>
    <xf numFmtId="0" fontId="55" fillId="2" borderId="99" xfId="0" applyFont="1" applyFill="1" applyBorder="1" applyAlignment="1">
      <alignment horizontal="center" vertical="center"/>
    </xf>
    <xf numFmtId="0" fontId="55" fillId="2" borderId="100" xfId="0" applyFont="1" applyFill="1" applyBorder="1" applyAlignment="1">
      <alignment horizontal="center" vertical="center"/>
    </xf>
    <xf numFmtId="0" fontId="55" fillId="2" borderId="101" xfId="0" applyFont="1" applyFill="1" applyBorder="1" applyAlignment="1">
      <alignment horizontal="center" vertical="center"/>
    </xf>
    <xf numFmtId="0" fontId="17" fillId="6" borderId="0" xfId="0" applyFont="1" applyFill="1" applyAlignment="1">
      <alignment horizontal="center" vertical="center" wrapText="1"/>
    </xf>
    <xf numFmtId="6" fontId="41" fillId="3" borderId="7" xfId="0" applyNumberFormat="1" applyFont="1" applyFill="1" applyBorder="1" applyAlignment="1">
      <alignment horizontal="center" vertical="center"/>
    </xf>
    <xf numFmtId="6" fontId="41" fillId="3" borderId="0" xfId="0" applyNumberFormat="1" applyFont="1" applyFill="1" applyBorder="1" applyAlignment="1">
      <alignment horizontal="center" vertical="center"/>
    </xf>
    <xf numFmtId="0" fontId="0" fillId="3" borderId="10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74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88" xfId="0" applyFont="1" applyFill="1" applyBorder="1" applyAlignment="1">
      <alignment horizontal="center" vertical="center" wrapText="1"/>
    </xf>
    <xf numFmtId="0" fontId="12" fillId="3" borderId="90" xfId="0" applyFont="1" applyFill="1" applyBorder="1" applyAlignment="1">
      <alignment horizontal="center" vertical="center" wrapText="1"/>
    </xf>
    <xf numFmtId="6" fontId="24" fillId="3" borderId="5" xfId="0" applyNumberFormat="1" applyFont="1" applyFill="1" applyBorder="1" applyAlignment="1">
      <alignment horizontal="center" shrinkToFit="1"/>
    </xf>
    <xf numFmtId="6" fontId="24" fillId="3" borderId="7" xfId="0" applyNumberFormat="1" applyFont="1" applyFill="1" applyBorder="1" applyAlignment="1">
      <alignment horizontal="center" shrinkToFit="1"/>
    </xf>
    <xf numFmtId="6" fontId="24" fillId="3" borderId="88" xfId="0" applyNumberFormat="1" applyFont="1" applyFill="1" applyBorder="1" applyAlignment="1">
      <alignment horizontal="center" shrinkToFit="1"/>
    </xf>
    <xf numFmtId="6" fontId="12" fillId="3" borderId="103" xfId="0" applyNumberFormat="1" applyFont="1" applyFill="1" applyBorder="1" applyAlignment="1">
      <alignment horizontal="center" vertical="center" shrinkToFit="1"/>
    </xf>
    <xf numFmtId="6" fontId="12" fillId="3" borderId="62" xfId="0" applyNumberFormat="1" applyFont="1" applyFill="1" applyBorder="1" applyAlignment="1">
      <alignment horizontal="center" vertical="center" shrinkToFit="1"/>
    </xf>
    <xf numFmtId="6" fontId="12" fillId="3" borderId="104" xfId="0" applyNumberFormat="1" applyFont="1" applyFill="1" applyBorder="1" applyAlignment="1">
      <alignment horizontal="center" vertical="center" shrinkToFit="1"/>
    </xf>
    <xf numFmtId="6" fontId="12" fillId="3" borderId="0" xfId="0" applyNumberFormat="1" applyFont="1" applyFill="1" applyBorder="1" applyAlignment="1">
      <alignment horizontal="center" vertical="top"/>
    </xf>
    <xf numFmtId="0" fontId="13" fillId="3" borderId="105" xfId="0" applyFont="1" applyFill="1" applyBorder="1" applyAlignment="1">
      <alignment horizontal="center" vertical="center"/>
    </xf>
    <xf numFmtId="0" fontId="13" fillId="3" borderId="68" xfId="0" applyFont="1" applyFill="1" applyBorder="1" applyAlignment="1">
      <alignment horizontal="center" vertical="center"/>
    </xf>
    <xf numFmtId="0" fontId="12" fillId="3" borderId="68" xfId="0" applyFont="1" applyFill="1" applyBorder="1" applyAlignment="1">
      <alignment horizontal="center" vertical="center"/>
    </xf>
    <xf numFmtId="0" fontId="12" fillId="3" borderId="69" xfId="0" applyFont="1" applyFill="1" applyBorder="1" applyAlignment="1">
      <alignment horizontal="center" vertical="center"/>
    </xf>
    <xf numFmtId="6" fontId="12" fillId="3" borderId="67" xfId="0" applyNumberFormat="1" applyFont="1" applyFill="1" applyBorder="1" applyAlignment="1">
      <alignment horizontal="center" vertical="center" shrinkToFit="1"/>
    </xf>
    <xf numFmtId="6" fontId="12" fillId="3" borderId="106" xfId="0" applyNumberFormat="1" applyFont="1" applyFill="1" applyBorder="1" applyAlignment="1">
      <alignment horizontal="center" vertical="center" shrinkToFit="1"/>
    </xf>
    <xf numFmtId="6" fontId="10" fillId="3" borderId="107" xfId="0" applyNumberFormat="1" applyFont="1" applyFill="1" applyBorder="1" applyAlignment="1">
      <alignment horizontal="center" vertical="center" shrinkToFit="1"/>
    </xf>
    <xf numFmtId="6" fontId="10" fillId="3" borderId="108" xfId="0" applyNumberFormat="1" applyFont="1" applyFill="1" applyBorder="1" applyAlignment="1">
      <alignment horizontal="center" vertical="center" shrinkToFit="1"/>
    </xf>
    <xf numFmtId="165" fontId="40" fillId="0" borderId="109" xfId="0" applyNumberFormat="1" applyFont="1" applyBorder="1" applyAlignment="1">
      <alignment horizontal="center" vertical="center" wrapText="1"/>
    </xf>
    <xf numFmtId="165" fontId="40" fillId="0" borderId="110" xfId="0" applyNumberFormat="1" applyFont="1" applyBorder="1" applyAlignment="1">
      <alignment horizontal="center" vertical="center" wrapText="1"/>
    </xf>
    <xf numFmtId="165" fontId="23" fillId="0" borderId="111" xfId="0" applyNumberFormat="1" applyFont="1" applyBorder="1" applyAlignment="1">
      <alignment horizontal="center" vertical="center" wrapText="1"/>
    </xf>
    <xf numFmtId="165" fontId="23" fillId="0" borderId="72" xfId="0" applyNumberFormat="1" applyFont="1" applyBorder="1" applyAlignment="1">
      <alignment horizontal="center" vertical="center" wrapText="1"/>
    </xf>
    <xf numFmtId="165" fontId="23" fillId="0" borderId="112" xfId="0" applyNumberFormat="1" applyFont="1" applyBorder="1" applyAlignment="1">
      <alignment horizontal="center" vertical="center" wrapText="1"/>
    </xf>
    <xf numFmtId="165" fontId="40" fillId="0" borderId="109" xfId="0" applyNumberFormat="1" applyFont="1" applyBorder="1" applyAlignment="1">
      <alignment horizontal="center" vertical="center" shrinkToFit="1"/>
    </xf>
    <xf numFmtId="165" fontId="40" fillId="0" borderId="72" xfId="0" applyNumberFormat="1" applyFont="1" applyBorder="1" applyAlignment="1">
      <alignment horizontal="center" vertical="center" shrinkToFit="1"/>
    </xf>
    <xf numFmtId="6" fontId="40" fillId="0" borderId="71" xfId="0" applyNumberFormat="1" applyFont="1" applyFill="1" applyBorder="1" applyAlignment="1">
      <alignment horizontal="center" vertical="center" wrapText="1"/>
    </xf>
    <xf numFmtId="6" fontId="40" fillId="0" borderId="72" xfId="0" applyNumberFormat="1" applyFont="1" applyFill="1" applyBorder="1" applyAlignment="1">
      <alignment horizontal="center" vertical="center" wrapText="1"/>
    </xf>
    <xf numFmtId="6" fontId="40" fillId="0" borderId="110" xfId="0" applyNumberFormat="1" applyFont="1" applyFill="1" applyBorder="1" applyAlignment="1">
      <alignment horizontal="center" vertical="center" wrapText="1"/>
    </xf>
    <xf numFmtId="165" fontId="23" fillId="0" borderId="81" xfId="0" applyNumberFormat="1" applyFont="1" applyBorder="1" applyAlignment="1">
      <alignment horizontal="center" vertical="center" wrapText="1"/>
    </xf>
    <xf numFmtId="165" fontId="23" fillId="0" borderId="113" xfId="0" applyNumberFormat="1" applyFont="1" applyBorder="1" applyAlignment="1">
      <alignment horizontal="center" vertical="center" wrapText="1"/>
    </xf>
    <xf numFmtId="0" fontId="16" fillId="0" borderId="111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165" fontId="40" fillId="0" borderId="71" xfId="0" applyNumberFormat="1" applyFont="1" applyBorder="1" applyAlignment="1">
      <alignment horizontal="center" vertical="center" wrapText="1"/>
    </xf>
    <xf numFmtId="165" fontId="40" fillId="0" borderId="112" xfId="0" applyNumberFormat="1" applyFont="1" applyBorder="1" applyAlignment="1">
      <alignment horizontal="center" vertical="center" wrapText="1"/>
    </xf>
    <xf numFmtId="0" fontId="16" fillId="0" borderId="95" xfId="0" applyFont="1" applyBorder="1" applyAlignment="1">
      <alignment horizontal="center" vertical="center"/>
    </xf>
    <xf numFmtId="165" fontId="40" fillId="0" borderId="82" xfId="0" applyNumberFormat="1" applyFont="1" applyBorder="1" applyAlignment="1">
      <alignment horizontal="center" vertical="center" wrapText="1"/>
    </xf>
    <xf numFmtId="165" fontId="40" fillId="0" borderId="113" xfId="0" applyNumberFormat="1" applyFont="1" applyBorder="1" applyAlignment="1">
      <alignment horizontal="center" vertical="center" wrapText="1"/>
    </xf>
    <xf numFmtId="6" fontId="42" fillId="5" borderId="25" xfId="0" applyNumberFormat="1" applyFont="1" applyFill="1" applyBorder="1" applyAlignment="1">
      <alignment horizontal="center"/>
    </xf>
    <xf numFmtId="6" fontId="42" fillId="5" borderId="14" xfId="0" applyNumberFormat="1" applyFont="1" applyFill="1" applyBorder="1" applyAlignment="1">
      <alignment horizontal="center"/>
    </xf>
    <xf numFmtId="6" fontId="42" fillId="5" borderId="70" xfId="0" applyNumberFormat="1" applyFont="1" applyFill="1" applyBorder="1" applyAlignment="1">
      <alignment horizontal="center"/>
    </xf>
    <xf numFmtId="6" fontId="42" fillId="5" borderId="74" xfId="0" applyNumberFormat="1" applyFont="1" applyFill="1" applyBorder="1" applyAlignment="1">
      <alignment horizontal="center" vertical="center"/>
    </xf>
    <xf numFmtId="6" fontId="42" fillId="5" borderId="75" xfId="0" applyNumberFormat="1" applyFont="1" applyFill="1" applyBorder="1" applyAlignment="1">
      <alignment horizontal="center" vertical="center"/>
    </xf>
    <xf numFmtId="49" fontId="10" fillId="0" borderId="36" xfId="0" applyNumberFormat="1" applyFont="1" applyBorder="1" applyAlignment="1">
      <alignment horizontal="left" vertical="center" indent="1"/>
    </xf>
    <xf numFmtId="49" fontId="10" fillId="0" borderId="18" xfId="0" applyNumberFormat="1" applyFont="1" applyBorder="1" applyAlignment="1">
      <alignment horizontal="left" vertical="center" indent="1"/>
    </xf>
    <xf numFmtId="49" fontId="10" fillId="0" borderId="44" xfId="0" applyNumberFormat="1" applyFont="1" applyBorder="1" applyAlignment="1">
      <alignment horizontal="left" vertical="center" indent="1"/>
    </xf>
    <xf numFmtId="49" fontId="10" fillId="0" borderId="36" xfId="0" applyNumberFormat="1" applyFont="1" applyFill="1" applyBorder="1" applyAlignment="1">
      <alignment horizontal="left" vertical="center" indent="1"/>
    </xf>
    <xf numFmtId="49" fontId="10" fillId="0" borderId="18" xfId="0" applyNumberFormat="1" applyFont="1" applyFill="1" applyBorder="1" applyAlignment="1">
      <alignment horizontal="left" vertical="center" indent="1"/>
    </xf>
    <xf numFmtId="49" fontId="10" fillId="0" borderId="44" xfId="0" applyNumberFormat="1" applyFont="1" applyFill="1" applyBorder="1" applyAlignment="1">
      <alignment horizontal="left" vertical="center" indent="1"/>
    </xf>
    <xf numFmtId="49" fontId="10" fillId="0" borderId="37" xfId="0" applyNumberFormat="1" applyFont="1" applyFill="1" applyBorder="1" applyAlignment="1">
      <alignment horizontal="left" vertical="center" indent="1"/>
    </xf>
    <xf numFmtId="49" fontId="10" fillId="0" borderId="21" xfId="0" applyNumberFormat="1" applyFont="1" applyFill="1" applyBorder="1" applyAlignment="1">
      <alignment horizontal="left" vertical="center" indent="1"/>
    </xf>
    <xf numFmtId="49" fontId="10" fillId="0" borderId="48" xfId="0" applyNumberFormat="1" applyFont="1" applyFill="1" applyBorder="1" applyAlignment="1">
      <alignment horizontal="left" vertical="center" indent="1"/>
    </xf>
    <xf numFmtId="49" fontId="10" fillId="0" borderId="39" xfId="0" applyNumberFormat="1" applyFont="1" applyFill="1" applyBorder="1" applyAlignment="1">
      <alignment horizontal="left" vertical="center" indent="1"/>
    </xf>
    <xf numFmtId="49" fontId="10" fillId="0" borderId="40" xfId="0" applyNumberFormat="1" applyFont="1" applyFill="1" applyBorder="1" applyAlignment="1">
      <alignment horizontal="left" vertical="center" indent="1"/>
    </xf>
    <xf numFmtId="49" fontId="10" fillId="0" borderId="57" xfId="0" applyNumberFormat="1" applyFont="1" applyFill="1" applyBorder="1" applyAlignment="1">
      <alignment horizontal="left" vertical="center" indent="1"/>
    </xf>
    <xf numFmtId="6" fontId="7" fillId="5" borderId="25" xfId="0" applyNumberFormat="1" applyFont="1" applyFill="1" applyBorder="1" applyAlignment="1">
      <alignment horizontal="center" vertical="center"/>
    </xf>
    <xf numFmtId="6" fontId="40" fillId="6" borderId="9" xfId="0" applyNumberFormat="1" applyFont="1" applyFill="1" applyBorder="1" applyAlignment="1">
      <alignment horizontal="center" vertical="center"/>
    </xf>
    <xf numFmtId="6" fontId="40" fillId="6" borderId="11" xfId="0" applyNumberFormat="1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horizontal="center" vertical="center"/>
    </xf>
    <xf numFmtId="0" fontId="24" fillId="3" borderId="84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8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76200</xdr:colOff>
      <xdr:row>82</xdr:row>
      <xdr:rowOff>142875</xdr:rowOff>
    </xdr:from>
    <xdr:to>
      <xdr:col>28</xdr:col>
      <xdr:colOff>428625</xdr:colOff>
      <xdr:row>84</xdr:row>
      <xdr:rowOff>161925</xdr:rowOff>
    </xdr:to>
    <xdr:sp>
      <xdr:nvSpPr>
        <xdr:cNvPr id="1" name="Line 2"/>
        <xdr:cNvSpPr>
          <a:spLocks/>
        </xdr:cNvSpPr>
      </xdr:nvSpPr>
      <xdr:spPr>
        <a:xfrm flipH="1" flipV="1">
          <a:off x="8382000" y="21621750"/>
          <a:ext cx="5048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76200</xdr:colOff>
      <xdr:row>83</xdr:row>
      <xdr:rowOff>114300</xdr:rowOff>
    </xdr:from>
    <xdr:to>
      <xdr:col>28</xdr:col>
      <xdr:colOff>428625</xdr:colOff>
      <xdr:row>84</xdr:row>
      <xdr:rowOff>142875</xdr:rowOff>
    </xdr:to>
    <xdr:sp>
      <xdr:nvSpPr>
        <xdr:cNvPr id="2" name="Line 3"/>
        <xdr:cNvSpPr>
          <a:spLocks/>
        </xdr:cNvSpPr>
      </xdr:nvSpPr>
      <xdr:spPr>
        <a:xfrm flipH="1" flipV="1">
          <a:off x="8382000" y="21783675"/>
          <a:ext cx="5048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47625</xdr:colOff>
      <xdr:row>84</xdr:row>
      <xdr:rowOff>95250</xdr:rowOff>
    </xdr:from>
    <xdr:to>
      <xdr:col>28</xdr:col>
      <xdr:colOff>438150</xdr:colOff>
      <xdr:row>84</xdr:row>
      <xdr:rowOff>152400</xdr:rowOff>
    </xdr:to>
    <xdr:sp>
      <xdr:nvSpPr>
        <xdr:cNvPr id="3" name="Line 4"/>
        <xdr:cNvSpPr>
          <a:spLocks/>
        </xdr:cNvSpPr>
      </xdr:nvSpPr>
      <xdr:spPr>
        <a:xfrm flipH="1" flipV="1">
          <a:off x="8353425" y="21955125"/>
          <a:ext cx="5429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504825</xdr:colOff>
      <xdr:row>90</xdr:row>
      <xdr:rowOff>57150</xdr:rowOff>
    </xdr:from>
    <xdr:to>
      <xdr:col>25</xdr:col>
      <xdr:colOff>504825</xdr:colOff>
      <xdr:row>91</xdr:row>
      <xdr:rowOff>114300</xdr:rowOff>
    </xdr:to>
    <xdr:sp>
      <xdr:nvSpPr>
        <xdr:cNvPr id="4" name="Line 5"/>
        <xdr:cNvSpPr>
          <a:spLocks/>
        </xdr:cNvSpPr>
      </xdr:nvSpPr>
      <xdr:spPr>
        <a:xfrm flipV="1">
          <a:off x="7886700" y="229647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90</xdr:row>
      <xdr:rowOff>47625</xdr:rowOff>
    </xdr:from>
    <xdr:to>
      <xdr:col>24</xdr:col>
      <xdr:colOff>0</xdr:colOff>
      <xdr:row>91</xdr:row>
      <xdr:rowOff>104775</xdr:rowOff>
    </xdr:to>
    <xdr:sp>
      <xdr:nvSpPr>
        <xdr:cNvPr id="5" name="Line 6"/>
        <xdr:cNvSpPr>
          <a:spLocks/>
        </xdr:cNvSpPr>
      </xdr:nvSpPr>
      <xdr:spPr>
        <a:xfrm flipV="1">
          <a:off x="7029450" y="229552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90</xdr:row>
      <xdr:rowOff>47625</xdr:rowOff>
    </xdr:from>
    <xdr:to>
      <xdr:col>14</xdr:col>
      <xdr:colOff>238125</xdr:colOff>
      <xdr:row>91</xdr:row>
      <xdr:rowOff>104775</xdr:rowOff>
    </xdr:to>
    <xdr:sp>
      <xdr:nvSpPr>
        <xdr:cNvPr id="6" name="Line 7"/>
        <xdr:cNvSpPr>
          <a:spLocks/>
        </xdr:cNvSpPr>
      </xdr:nvSpPr>
      <xdr:spPr>
        <a:xfrm flipV="1">
          <a:off x="4800600" y="229552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90</xdr:row>
      <xdr:rowOff>47625</xdr:rowOff>
    </xdr:from>
    <xdr:to>
      <xdr:col>13</xdr:col>
      <xdr:colOff>171450</xdr:colOff>
      <xdr:row>91</xdr:row>
      <xdr:rowOff>104775</xdr:rowOff>
    </xdr:to>
    <xdr:sp>
      <xdr:nvSpPr>
        <xdr:cNvPr id="7" name="Line 8"/>
        <xdr:cNvSpPr>
          <a:spLocks/>
        </xdr:cNvSpPr>
      </xdr:nvSpPr>
      <xdr:spPr>
        <a:xfrm flipV="1">
          <a:off x="4352925" y="229552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91</xdr:row>
      <xdr:rowOff>114300</xdr:rowOff>
    </xdr:from>
    <xdr:to>
      <xdr:col>31</xdr:col>
      <xdr:colOff>9525</xdr:colOff>
      <xdr:row>91</xdr:row>
      <xdr:rowOff>114300</xdr:rowOff>
    </xdr:to>
    <xdr:sp>
      <xdr:nvSpPr>
        <xdr:cNvPr id="8" name="Line 9"/>
        <xdr:cNvSpPr>
          <a:spLocks/>
        </xdr:cNvSpPr>
      </xdr:nvSpPr>
      <xdr:spPr>
        <a:xfrm flipH="1">
          <a:off x="4352925" y="23183850"/>
          <a:ext cx="555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88</xdr:row>
      <xdr:rowOff>161925</xdr:rowOff>
    </xdr:from>
    <xdr:to>
      <xdr:col>31</xdr:col>
      <xdr:colOff>9525</xdr:colOff>
      <xdr:row>91</xdr:row>
      <xdr:rowOff>104775</xdr:rowOff>
    </xdr:to>
    <xdr:sp>
      <xdr:nvSpPr>
        <xdr:cNvPr id="9" name="Line 10"/>
        <xdr:cNvSpPr>
          <a:spLocks/>
        </xdr:cNvSpPr>
      </xdr:nvSpPr>
      <xdr:spPr>
        <a:xfrm flipV="1">
          <a:off x="9906000" y="227266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76200</xdr:colOff>
      <xdr:row>54</xdr:row>
      <xdr:rowOff>142875</xdr:rowOff>
    </xdr:from>
    <xdr:to>
      <xdr:col>28</xdr:col>
      <xdr:colOff>428625</xdr:colOff>
      <xdr:row>56</xdr:row>
      <xdr:rowOff>161925</xdr:rowOff>
    </xdr:to>
    <xdr:sp>
      <xdr:nvSpPr>
        <xdr:cNvPr id="1" name="Line 7"/>
        <xdr:cNvSpPr>
          <a:spLocks/>
        </xdr:cNvSpPr>
      </xdr:nvSpPr>
      <xdr:spPr>
        <a:xfrm flipH="1" flipV="1">
          <a:off x="8286750" y="10953750"/>
          <a:ext cx="4667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55</xdr:row>
      <xdr:rowOff>114300</xdr:rowOff>
    </xdr:from>
    <xdr:to>
      <xdr:col>28</xdr:col>
      <xdr:colOff>428625</xdr:colOff>
      <xdr:row>56</xdr:row>
      <xdr:rowOff>142875</xdr:rowOff>
    </xdr:to>
    <xdr:sp>
      <xdr:nvSpPr>
        <xdr:cNvPr id="2" name="Line 8"/>
        <xdr:cNvSpPr>
          <a:spLocks/>
        </xdr:cNvSpPr>
      </xdr:nvSpPr>
      <xdr:spPr>
        <a:xfrm flipH="1" flipV="1">
          <a:off x="8296275" y="11115675"/>
          <a:ext cx="4572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57150</xdr:colOff>
      <xdr:row>56</xdr:row>
      <xdr:rowOff>95250</xdr:rowOff>
    </xdr:from>
    <xdr:to>
      <xdr:col>28</xdr:col>
      <xdr:colOff>438150</xdr:colOff>
      <xdr:row>56</xdr:row>
      <xdr:rowOff>152400</xdr:rowOff>
    </xdr:to>
    <xdr:sp>
      <xdr:nvSpPr>
        <xdr:cNvPr id="3" name="Line 9"/>
        <xdr:cNvSpPr>
          <a:spLocks/>
        </xdr:cNvSpPr>
      </xdr:nvSpPr>
      <xdr:spPr>
        <a:xfrm flipH="1" flipV="1">
          <a:off x="8267700" y="11287125"/>
          <a:ext cx="4953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504825</xdr:colOff>
      <xdr:row>62</xdr:row>
      <xdr:rowOff>57150</xdr:rowOff>
    </xdr:from>
    <xdr:to>
      <xdr:col>25</xdr:col>
      <xdr:colOff>504825</xdr:colOff>
      <xdr:row>63</xdr:row>
      <xdr:rowOff>114300</xdr:rowOff>
    </xdr:to>
    <xdr:sp>
      <xdr:nvSpPr>
        <xdr:cNvPr id="4" name="Line 11"/>
        <xdr:cNvSpPr>
          <a:spLocks/>
        </xdr:cNvSpPr>
      </xdr:nvSpPr>
      <xdr:spPr>
        <a:xfrm flipV="1">
          <a:off x="7791450" y="122967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62</xdr:row>
      <xdr:rowOff>47625</xdr:rowOff>
    </xdr:from>
    <xdr:to>
      <xdr:col>24</xdr:col>
      <xdr:colOff>0</xdr:colOff>
      <xdr:row>63</xdr:row>
      <xdr:rowOff>104775</xdr:rowOff>
    </xdr:to>
    <xdr:sp>
      <xdr:nvSpPr>
        <xdr:cNvPr id="5" name="Line 12"/>
        <xdr:cNvSpPr>
          <a:spLocks/>
        </xdr:cNvSpPr>
      </xdr:nvSpPr>
      <xdr:spPr>
        <a:xfrm flipV="1">
          <a:off x="6934200" y="122872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238125</xdr:colOff>
      <xdr:row>62</xdr:row>
      <xdr:rowOff>47625</xdr:rowOff>
    </xdr:from>
    <xdr:to>
      <xdr:col>14</xdr:col>
      <xdr:colOff>238125</xdr:colOff>
      <xdr:row>63</xdr:row>
      <xdr:rowOff>104775</xdr:rowOff>
    </xdr:to>
    <xdr:sp>
      <xdr:nvSpPr>
        <xdr:cNvPr id="6" name="Line 13"/>
        <xdr:cNvSpPr>
          <a:spLocks/>
        </xdr:cNvSpPr>
      </xdr:nvSpPr>
      <xdr:spPr>
        <a:xfrm flipV="1">
          <a:off x="4705350" y="122872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62</xdr:row>
      <xdr:rowOff>47625</xdr:rowOff>
    </xdr:from>
    <xdr:to>
      <xdr:col>13</xdr:col>
      <xdr:colOff>171450</xdr:colOff>
      <xdr:row>63</xdr:row>
      <xdr:rowOff>104775</xdr:rowOff>
    </xdr:to>
    <xdr:sp>
      <xdr:nvSpPr>
        <xdr:cNvPr id="7" name="Line 14"/>
        <xdr:cNvSpPr>
          <a:spLocks/>
        </xdr:cNvSpPr>
      </xdr:nvSpPr>
      <xdr:spPr>
        <a:xfrm flipV="1">
          <a:off x="4257675" y="122872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63</xdr:row>
      <xdr:rowOff>114300</xdr:rowOff>
    </xdr:from>
    <xdr:to>
      <xdr:col>31</xdr:col>
      <xdr:colOff>9525</xdr:colOff>
      <xdr:row>63</xdr:row>
      <xdr:rowOff>114300</xdr:rowOff>
    </xdr:to>
    <xdr:sp>
      <xdr:nvSpPr>
        <xdr:cNvPr id="8" name="Line 15"/>
        <xdr:cNvSpPr>
          <a:spLocks/>
        </xdr:cNvSpPr>
      </xdr:nvSpPr>
      <xdr:spPr>
        <a:xfrm flipH="1">
          <a:off x="4257675" y="12515850"/>
          <a:ext cx="555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60</xdr:row>
      <xdr:rowOff>161925</xdr:rowOff>
    </xdr:from>
    <xdr:to>
      <xdr:col>31</xdr:col>
      <xdr:colOff>9525</xdr:colOff>
      <xdr:row>63</xdr:row>
      <xdr:rowOff>104775</xdr:rowOff>
    </xdr:to>
    <xdr:sp>
      <xdr:nvSpPr>
        <xdr:cNvPr id="9" name="Line 16"/>
        <xdr:cNvSpPr>
          <a:spLocks/>
        </xdr:cNvSpPr>
      </xdr:nvSpPr>
      <xdr:spPr>
        <a:xfrm flipV="1">
          <a:off x="9810750" y="120586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400050</xdr:colOff>
      <xdr:row>0</xdr:row>
      <xdr:rowOff>0</xdr:rowOff>
    </xdr:from>
    <xdr:to>
      <xdr:col>29</xdr:col>
      <xdr:colOff>209550</xdr:colOff>
      <xdr:row>0</xdr:row>
      <xdr:rowOff>0</xdr:rowOff>
    </xdr:to>
    <xdr:sp>
      <xdr:nvSpPr>
        <xdr:cNvPr id="10" name="Line 17"/>
        <xdr:cNvSpPr>
          <a:spLocks/>
        </xdr:cNvSpPr>
      </xdr:nvSpPr>
      <xdr:spPr>
        <a:xfrm>
          <a:off x="8201025" y="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90"/>
  <sheetViews>
    <sheetView view="pageBreakPreview" zoomScale="90" zoomScaleSheetLayoutView="90" workbookViewId="0" topLeftCell="A23">
      <selection activeCell="A2" sqref="A2:AG2"/>
    </sheetView>
  </sheetViews>
  <sheetFormatPr defaultColWidth="9.140625" defaultRowHeight="12.75"/>
  <cols>
    <col min="1" max="1" width="18.8515625" style="2" customWidth="1"/>
    <col min="2" max="2" width="1.421875" style="2" customWidth="1"/>
    <col min="3" max="3" width="9.28125" style="83" customWidth="1"/>
    <col min="4" max="4" width="6.8515625" style="83" customWidth="1"/>
    <col min="5" max="5" width="2.8515625" style="84" customWidth="1"/>
    <col min="6" max="6" width="1.28515625" style="83" customWidth="1"/>
    <col min="7" max="7" width="5.28125" style="85" customWidth="1"/>
    <col min="8" max="8" width="1.1484375" style="85" customWidth="1"/>
    <col min="9" max="9" width="5.7109375" style="86" customWidth="1"/>
    <col min="10" max="10" width="2.7109375" style="84" customWidth="1"/>
    <col min="11" max="11" width="1.28515625" style="83" customWidth="1"/>
    <col min="12" max="12" width="4.7109375" style="85" customWidth="1"/>
    <col min="13" max="13" width="1.28515625" style="85" customWidth="1"/>
    <col min="14" max="14" width="5.7109375" style="87" customWidth="1"/>
    <col min="15" max="15" width="5.28125" style="88" customWidth="1"/>
    <col min="16" max="16" width="1.28515625" style="85" customWidth="1"/>
    <col min="17" max="17" width="5.28125" style="85" customWidth="1"/>
    <col min="18" max="18" width="1.28515625" style="85" customWidth="1"/>
    <col min="19" max="19" width="5.28125" style="85" customWidth="1"/>
    <col min="20" max="20" width="1.57421875" style="85" customWidth="1"/>
    <col min="21" max="21" width="5.28125" style="88" customWidth="1"/>
    <col min="22" max="22" width="1.1484375" style="80" customWidth="1"/>
    <col min="23" max="23" width="2.57421875" style="87" customWidth="1"/>
    <col min="24" max="24" width="8.00390625" style="89" customWidth="1"/>
    <col min="25" max="25" width="5.28125" style="2" customWidth="1"/>
    <col min="26" max="26" width="7.7109375" style="90" customWidth="1"/>
    <col min="27" max="27" width="6.140625" style="91" customWidth="1"/>
    <col min="28" max="28" width="2.28125" style="87" customWidth="1"/>
    <col min="29" max="29" width="7.140625" style="81" customWidth="1"/>
    <col min="30" max="30" width="5.28125" style="0" customWidth="1"/>
    <col min="32" max="32" width="9.7109375" style="0" customWidth="1"/>
    <col min="34" max="34" width="5.8515625" style="0" customWidth="1"/>
  </cols>
  <sheetData>
    <row r="2" spans="1:33" ht="39.75" customHeight="1">
      <c r="A2" s="343" t="s">
        <v>25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5"/>
    </row>
    <row r="3" spans="1:33" s="326" customFormat="1" ht="30" customHeight="1">
      <c r="A3" s="346" t="s">
        <v>178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8"/>
    </row>
    <row r="4" spans="1:33" s="331" customFormat="1" ht="30" customHeight="1">
      <c r="A4" s="349" t="s">
        <v>172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50"/>
      <c r="AG4" s="351"/>
    </row>
    <row r="5" spans="1:33" s="330" customFormat="1" ht="28.5" customHeight="1">
      <c r="A5" s="334" t="s">
        <v>173</v>
      </c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6"/>
    </row>
    <row r="6" spans="1:33" s="326" customFormat="1" ht="30" customHeight="1">
      <c r="A6" s="337" t="s">
        <v>179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9"/>
    </row>
    <row r="7" spans="1:33" s="326" customFormat="1" ht="30" customHeight="1">
      <c r="A7" s="337" t="s">
        <v>180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  <c r="AA7" s="338"/>
      <c r="AB7" s="338"/>
      <c r="AC7" s="338"/>
      <c r="AD7" s="338"/>
      <c r="AE7" s="338"/>
      <c r="AF7" s="338"/>
      <c r="AG7" s="339"/>
    </row>
    <row r="8" spans="1:33" s="326" customFormat="1" ht="30" customHeight="1">
      <c r="A8" s="337" t="s">
        <v>176</v>
      </c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  <c r="AA8" s="338"/>
      <c r="AB8" s="338"/>
      <c r="AC8" s="338"/>
      <c r="AD8" s="338"/>
      <c r="AE8" s="338"/>
      <c r="AF8" s="338"/>
      <c r="AG8" s="339"/>
    </row>
    <row r="9" spans="1:33" s="331" customFormat="1" ht="30" customHeight="1">
      <c r="A9" s="340" t="s">
        <v>177</v>
      </c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1"/>
      <c r="AA9" s="341"/>
      <c r="AB9" s="341"/>
      <c r="AC9" s="341"/>
      <c r="AD9" s="341"/>
      <c r="AE9" s="341"/>
      <c r="AF9" s="341"/>
      <c r="AG9" s="342"/>
    </row>
    <row r="10" spans="1:33" s="330" customFormat="1" ht="29.25" customHeight="1">
      <c r="A10" s="334" t="s">
        <v>181</v>
      </c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335"/>
      <c r="Y10" s="335"/>
      <c r="Z10" s="335"/>
      <c r="AA10" s="335"/>
      <c r="AB10" s="335"/>
      <c r="AC10" s="335"/>
      <c r="AD10" s="335"/>
      <c r="AE10" s="335"/>
      <c r="AF10" s="335"/>
      <c r="AG10" s="336"/>
    </row>
    <row r="11" spans="1:33" s="326" customFormat="1" ht="30" customHeight="1">
      <c r="A11" s="337" t="s">
        <v>186</v>
      </c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9"/>
    </row>
    <row r="12" spans="1:33" s="331" customFormat="1" ht="30" customHeight="1">
      <c r="A12" s="340" t="s">
        <v>187</v>
      </c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2"/>
    </row>
    <row r="13" spans="1:33" s="330" customFormat="1" ht="19.5" customHeight="1">
      <c r="A13" s="352" t="s">
        <v>188</v>
      </c>
      <c r="B13" s="353"/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3"/>
      <c r="X13" s="353"/>
      <c r="Y13" s="353"/>
      <c r="Z13" s="353"/>
      <c r="AA13" s="353"/>
      <c r="AB13" s="353"/>
      <c r="AC13" s="353"/>
      <c r="AD13" s="353"/>
      <c r="AE13" s="353"/>
      <c r="AF13" s="353"/>
      <c r="AG13" s="354"/>
    </row>
    <row r="14" spans="1:33" s="330" customFormat="1" ht="19.5" customHeight="1">
      <c r="A14" s="352" t="s">
        <v>189</v>
      </c>
      <c r="B14" s="353"/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4"/>
    </row>
    <row r="15" spans="1:33" s="330" customFormat="1" ht="19.5" customHeight="1">
      <c r="A15" s="352" t="s">
        <v>190</v>
      </c>
      <c r="B15" s="353"/>
      <c r="C15" s="353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3"/>
      <c r="X15" s="353"/>
      <c r="Y15" s="353"/>
      <c r="Z15" s="353"/>
      <c r="AA15" s="353"/>
      <c r="AB15" s="353"/>
      <c r="AC15" s="353"/>
      <c r="AD15" s="353"/>
      <c r="AE15" s="353"/>
      <c r="AF15" s="353"/>
      <c r="AG15" s="354"/>
    </row>
    <row r="16" spans="1:33" s="330" customFormat="1" ht="30" customHeight="1">
      <c r="A16" s="334" t="s">
        <v>191</v>
      </c>
      <c r="B16" s="335"/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6"/>
    </row>
    <row r="17" spans="1:33" s="326" customFormat="1" ht="30" customHeight="1">
      <c r="A17" s="337" t="s">
        <v>198</v>
      </c>
      <c r="B17" s="338"/>
      <c r="C17" s="338"/>
      <c r="D17" s="338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8"/>
      <c r="AC17" s="338"/>
      <c r="AD17" s="338"/>
      <c r="AE17" s="338"/>
      <c r="AF17" s="338"/>
      <c r="AG17" s="339"/>
    </row>
    <row r="18" spans="1:33" s="331" customFormat="1" ht="30" customHeight="1">
      <c r="A18" s="340" t="s">
        <v>199</v>
      </c>
      <c r="B18" s="341"/>
      <c r="C18" s="341"/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2"/>
    </row>
    <row r="19" spans="1:33" s="330" customFormat="1" ht="29.25" customHeight="1">
      <c r="A19" s="334" t="s">
        <v>201</v>
      </c>
      <c r="B19" s="335"/>
      <c r="C19" s="335"/>
      <c r="D19" s="335"/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6"/>
    </row>
    <row r="20" spans="1:33" s="326" customFormat="1" ht="30" customHeight="1">
      <c r="A20" s="337" t="s">
        <v>203</v>
      </c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9"/>
    </row>
    <row r="21" spans="1:33" s="326" customFormat="1" ht="30" customHeight="1">
      <c r="A21" s="337" t="s">
        <v>204</v>
      </c>
      <c r="B21" s="338"/>
      <c r="C21" s="338"/>
      <c r="D21" s="338"/>
      <c r="E21" s="338"/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S21" s="338"/>
      <c r="T21" s="338"/>
      <c r="U21" s="338"/>
      <c r="V21" s="338"/>
      <c r="W21" s="338"/>
      <c r="X21" s="338"/>
      <c r="Y21" s="338"/>
      <c r="Z21" s="338"/>
      <c r="AA21" s="338"/>
      <c r="AB21" s="338"/>
      <c r="AC21" s="338"/>
      <c r="AD21" s="338"/>
      <c r="AE21" s="338"/>
      <c r="AF21" s="338"/>
      <c r="AG21" s="339"/>
    </row>
    <row r="22" spans="1:33" s="326" customFormat="1" ht="30" customHeight="1">
      <c r="A22" s="337" t="s">
        <v>206</v>
      </c>
      <c r="B22" s="338"/>
      <c r="C22" s="338"/>
      <c r="D22" s="338"/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  <c r="AA22" s="338"/>
      <c r="AB22" s="338"/>
      <c r="AC22" s="338"/>
      <c r="AD22" s="338"/>
      <c r="AE22" s="338"/>
      <c r="AF22" s="338"/>
      <c r="AG22" s="339"/>
    </row>
    <row r="23" spans="1:33" s="326" customFormat="1" ht="30" customHeight="1">
      <c r="A23" s="337" t="s">
        <v>207</v>
      </c>
      <c r="B23" s="338"/>
      <c r="C23" s="338"/>
      <c r="D23" s="338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8"/>
      <c r="AG23" s="339"/>
    </row>
    <row r="24" spans="1:33" s="326" customFormat="1" ht="30" customHeight="1">
      <c r="A24" s="356" t="s">
        <v>209</v>
      </c>
      <c r="B24" s="357"/>
      <c r="C24" s="357"/>
      <c r="D24" s="357"/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7"/>
      <c r="R24" s="357"/>
      <c r="S24" s="357"/>
      <c r="T24" s="357"/>
      <c r="U24" s="357"/>
      <c r="V24" s="357"/>
      <c r="W24" s="357"/>
      <c r="X24" s="357"/>
      <c r="Y24" s="357"/>
      <c r="Z24" s="357"/>
      <c r="AA24" s="357"/>
      <c r="AB24" s="357"/>
      <c r="AC24" s="357"/>
      <c r="AD24" s="357"/>
      <c r="AE24" s="357"/>
      <c r="AF24" s="357"/>
      <c r="AG24" s="358"/>
    </row>
    <row r="25" spans="1:33" s="326" customFormat="1" ht="30" customHeight="1">
      <c r="A25" s="356" t="s">
        <v>208</v>
      </c>
      <c r="B25" s="357"/>
      <c r="C25" s="357"/>
      <c r="D25" s="357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7"/>
      <c r="X25" s="357"/>
      <c r="Y25" s="357"/>
      <c r="Z25" s="357"/>
      <c r="AA25" s="357"/>
      <c r="AB25" s="357"/>
      <c r="AC25" s="357"/>
      <c r="AD25" s="357"/>
      <c r="AE25" s="357"/>
      <c r="AF25" s="357"/>
      <c r="AG25" s="358"/>
    </row>
    <row r="26" spans="1:33" s="326" customFormat="1" ht="30" customHeight="1">
      <c r="A26" s="356" t="s">
        <v>210</v>
      </c>
      <c r="B26" s="357"/>
      <c r="C26" s="357"/>
      <c r="D26" s="357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U26" s="357"/>
      <c r="V26" s="357"/>
      <c r="W26" s="357"/>
      <c r="X26" s="357"/>
      <c r="Y26" s="357"/>
      <c r="Z26" s="357"/>
      <c r="AA26" s="357"/>
      <c r="AB26" s="357"/>
      <c r="AC26" s="357"/>
      <c r="AD26" s="357"/>
      <c r="AE26" s="357"/>
      <c r="AF26" s="357"/>
      <c r="AG26" s="358"/>
    </row>
    <row r="27" spans="1:33" s="326" customFormat="1" ht="30" customHeight="1">
      <c r="A27" s="359" t="s">
        <v>211</v>
      </c>
      <c r="B27" s="360"/>
      <c r="C27" s="360"/>
      <c r="D27" s="360"/>
      <c r="E27" s="360"/>
      <c r="F27" s="360"/>
      <c r="G27" s="360"/>
      <c r="H27" s="360"/>
      <c r="I27" s="360"/>
      <c r="J27" s="360"/>
      <c r="K27" s="360"/>
      <c r="L27" s="360"/>
      <c r="M27" s="360"/>
      <c r="N27" s="360"/>
      <c r="O27" s="360"/>
      <c r="P27" s="360"/>
      <c r="Q27" s="360"/>
      <c r="R27" s="360"/>
      <c r="S27" s="360"/>
      <c r="T27" s="360"/>
      <c r="U27" s="360"/>
      <c r="V27" s="360"/>
      <c r="W27" s="360"/>
      <c r="X27" s="360"/>
      <c r="Y27" s="360"/>
      <c r="Z27" s="360"/>
      <c r="AA27" s="360"/>
      <c r="AB27" s="360"/>
      <c r="AC27" s="360"/>
      <c r="AD27" s="360"/>
      <c r="AE27" s="360"/>
      <c r="AF27" s="360"/>
      <c r="AG27" s="361"/>
    </row>
    <row r="28" spans="1:34" s="1" customFormat="1" ht="72" customHeight="1">
      <c r="A28" s="355" t="s">
        <v>202</v>
      </c>
      <c r="B28" s="355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  <c r="AC28" s="355"/>
      <c r="AD28" s="355"/>
      <c r="AE28" s="355"/>
      <c r="AF28" s="355"/>
      <c r="AG28" s="355"/>
      <c r="AH28" s="355"/>
    </row>
    <row r="29" spans="1:34" ht="47.25" customHeight="1" thickBot="1">
      <c r="A29" s="371" t="s">
        <v>149</v>
      </c>
      <c r="B29" s="371"/>
      <c r="C29" s="371"/>
      <c r="D29" s="371"/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371"/>
      <c r="Q29" s="371"/>
      <c r="R29" s="371"/>
      <c r="S29" s="371"/>
      <c r="T29" s="371"/>
      <c r="U29" s="371"/>
      <c r="V29" s="371"/>
      <c r="W29" s="371"/>
      <c r="X29" s="371"/>
      <c r="Y29" s="371"/>
      <c r="Z29" s="371"/>
      <c r="AA29" s="371"/>
      <c r="AB29" s="158"/>
      <c r="AC29" s="372" t="s">
        <v>128</v>
      </c>
      <c r="AD29" s="373"/>
      <c r="AE29" s="373"/>
      <c r="AF29" s="373"/>
      <c r="AG29" s="373"/>
      <c r="AH29" s="325" t="s">
        <v>162</v>
      </c>
    </row>
    <row r="30" spans="1:34" ht="30.75" thickBot="1">
      <c r="A30" s="3" t="s">
        <v>26</v>
      </c>
      <c r="B30" s="4"/>
      <c r="C30" s="332" t="s">
        <v>212</v>
      </c>
      <c r="D30" s="5"/>
      <c r="E30" s="5"/>
      <c r="F30" s="5"/>
      <c r="G30" s="6"/>
      <c r="H30" s="6"/>
      <c r="I30" s="7"/>
      <c r="J30" s="8"/>
      <c r="K30" s="5"/>
      <c r="L30" s="6"/>
      <c r="M30" s="6"/>
      <c r="N30" s="9"/>
      <c r="O30" s="10"/>
      <c r="P30" s="11"/>
      <c r="Q30" s="12" t="s">
        <v>49</v>
      </c>
      <c r="R30" s="11"/>
      <c r="S30" s="374">
        <f>ROUNDDOWN(D37/AC31,1)-0.05</f>
        <v>5.05</v>
      </c>
      <c r="T30" s="374"/>
      <c r="U30" s="374"/>
      <c r="V30" s="6"/>
      <c r="W30" s="6"/>
      <c r="X30" s="13">
        <f>AC40</f>
        <v>0.05</v>
      </c>
      <c r="Y30" s="13"/>
      <c r="Z30" s="13">
        <f>AC41</f>
        <v>0.02</v>
      </c>
      <c r="AA30" s="14"/>
      <c r="AB30" s="118"/>
      <c r="AC30" s="116" t="s">
        <v>120</v>
      </c>
      <c r="AD30" s="115"/>
      <c r="AE30" s="115"/>
      <c r="AF30" s="115"/>
      <c r="AG30" s="117"/>
      <c r="AH30" s="325"/>
    </row>
    <row r="31" spans="1:34" ht="15.75">
      <c r="A31" s="15" t="s">
        <v>27</v>
      </c>
      <c r="B31" s="4"/>
      <c r="C31" s="16" t="s">
        <v>97</v>
      </c>
      <c r="D31" s="17" t="s">
        <v>0</v>
      </c>
      <c r="E31" s="18">
        <v>0.7</v>
      </c>
      <c r="F31" s="19"/>
      <c r="G31" s="375" t="s">
        <v>50</v>
      </c>
      <c r="H31" s="375"/>
      <c r="I31" s="376"/>
      <c r="J31" s="18">
        <v>0.5</v>
      </c>
      <c r="K31" s="20"/>
      <c r="L31" s="377" t="s">
        <v>51</v>
      </c>
      <c r="M31" s="377"/>
      <c r="N31" s="378"/>
      <c r="O31" s="379" t="s">
        <v>52</v>
      </c>
      <c r="P31" s="380"/>
      <c r="Q31" s="380"/>
      <c r="R31" s="380"/>
      <c r="S31" s="380"/>
      <c r="T31" s="380"/>
      <c r="U31" s="380"/>
      <c r="V31" s="380"/>
      <c r="W31" s="381"/>
      <c r="X31" s="382" t="s">
        <v>53</v>
      </c>
      <c r="Y31" s="383"/>
      <c r="Z31" s="383"/>
      <c r="AA31" s="384"/>
      <c r="AB31" s="118"/>
      <c r="AC31" s="155">
        <v>950</v>
      </c>
      <c r="AD31" s="119" t="s">
        <v>119</v>
      </c>
      <c r="AE31" s="120"/>
      <c r="AF31" s="117"/>
      <c r="AG31" s="117"/>
      <c r="AH31" s="325" t="s">
        <v>164</v>
      </c>
    </row>
    <row r="32" spans="1:34" ht="22.5">
      <c r="A32" s="21" t="s">
        <v>28</v>
      </c>
      <c r="B32" s="22"/>
      <c r="C32" s="23" t="s">
        <v>1</v>
      </c>
      <c r="D32" s="24" t="s">
        <v>2</v>
      </c>
      <c r="E32" s="25" t="s">
        <v>54</v>
      </c>
      <c r="F32" s="26"/>
      <c r="G32" s="26"/>
      <c r="H32" s="26"/>
      <c r="I32" s="27" t="s">
        <v>3</v>
      </c>
      <c r="J32" s="25" t="s">
        <v>55</v>
      </c>
      <c r="K32" s="26"/>
      <c r="L32" s="26"/>
      <c r="M32" s="26"/>
      <c r="N32" s="28" t="s">
        <v>3</v>
      </c>
      <c r="O32" s="29" t="s">
        <v>4</v>
      </c>
      <c r="P32" s="30"/>
      <c r="Q32" s="30" t="s">
        <v>5</v>
      </c>
      <c r="R32" s="30"/>
      <c r="S32" s="30" t="s">
        <v>6</v>
      </c>
      <c r="T32" s="30"/>
      <c r="U32" s="30" t="s">
        <v>7</v>
      </c>
      <c r="V32" s="30"/>
      <c r="W32" s="31" t="s">
        <v>8</v>
      </c>
      <c r="X32" s="32" t="s">
        <v>56</v>
      </c>
      <c r="Y32" s="33" t="s">
        <v>57</v>
      </c>
      <c r="Z32" s="34" t="s">
        <v>58</v>
      </c>
      <c r="AA32" s="35" t="s">
        <v>57</v>
      </c>
      <c r="AB32" s="123"/>
      <c r="AC32" s="157" t="s">
        <v>127</v>
      </c>
      <c r="AD32" s="117"/>
      <c r="AE32" s="117"/>
      <c r="AF32" s="117"/>
      <c r="AG32" s="117"/>
      <c r="AH32" s="325"/>
    </row>
    <row r="33" spans="1:34" ht="13.5" customHeight="1">
      <c r="A33" s="36" t="s">
        <v>29</v>
      </c>
      <c r="B33" s="37"/>
      <c r="C33" s="280" t="s">
        <v>9</v>
      </c>
      <c r="D33" s="209">
        <f>D37-2*$AC$34</f>
        <v>3780</v>
      </c>
      <c r="E33" s="210">
        <v>12</v>
      </c>
      <c r="F33" s="211" t="s">
        <v>10</v>
      </c>
      <c r="G33" s="212" t="str">
        <f aca="true" t="shared" si="0" ref="G33:G40">DOLLAR(ROUNDUP(+INT(D33*($D$3)/E33),-1),0)</f>
        <v>$0</v>
      </c>
      <c r="H33" s="213" t="s">
        <v>11</v>
      </c>
      <c r="I33" s="214" t="str">
        <f aca="true" t="shared" si="1" ref="I33:I39">DOLLAR(D33-(E33*G33),0)</f>
        <v>$3,780</v>
      </c>
      <c r="J33" s="210">
        <f aca="true" t="shared" si="2" ref="J33:J39">E33</f>
        <v>12</v>
      </c>
      <c r="K33" s="211" t="s">
        <v>10</v>
      </c>
      <c r="L33" s="212" t="str">
        <f aca="true" t="shared" si="3" ref="L33:L40">DOLLAR(ROUNDUP(+INT(D33*($I$3)/E33),-1),0)</f>
        <v>$0</v>
      </c>
      <c r="M33" s="213" t="s">
        <v>11</v>
      </c>
      <c r="N33" s="215" t="str">
        <f aca="true" t="shared" si="4" ref="N33:N39">DOLLAR($D33-(J33*L33),0)</f>
        <v>$3,780</v>
      </c>
      <c r="O33" s="210" t="str">
        <f aca="true" t="shared" si="5" ref="O33:O39">DOLLAR(ROUNDUP((I33+2*G33)*0.45,-2)-25,0)</f>
        <v>$1,775</v>
      </c>
      <c r="P33" s="213" t="s">
        <v>12</v>
      </c>
      <c r="Q33" s="211" t="str">
        <f>DOLLAR(ROUNDUP((I33+2*G33)*0.35,-2)-75,0)</f>
        <v>$1,325</v>
      </c>
      <c r="R33" s="213" t="s">
        <v>12</v>
      </c>
      <c r="S33" s="211" t="str">
        <f aca="true" t="shared" si="6" ref="S33:S39">DOLLAR(I33+2*G33-O33-Q33,0)</f>
        <v>$680</v>
      </c>
      <c r="T33" s="213" t="s">
        <v>11</v>
      </c>
      <c r="U33" s="216" t="str">
        <f aca="true" t="shared" si="7" ref="U33:U39">G33</f>
        <v>$0</v>
      </c>
      <c r="V33" s="211" t="str">
        <f aca="true" t="shared" si="8" ref="V33:V39">F33</f>
        <v>x</v>
      </c>
      <c r="W33" s="215">
        <f aca="true" t="shared" si="9" ref="W33:W39">ABS(E33-2)</f>
        <v>10</v>
      </c>
      <c r="X33" s="209">
        <f>$D33-ROUNDDOWN($D33*X30,0)</f>
        <v>3591</v>
      </c>
      <c r="Y33" s="217">
        <f aca="true" t="shared" si="10" ref="Y33:Y40">D33-X33</f>
        <v>189</v>
      </c>
      <c r="Z33" s="218">
        <f>$D33-ROUNDDOWN($D33*Z30,0)</f>
        <v>3705</v>
      </c>
      <c r="AA33" s="219">
        <f aca="true" t="shared" si="11" ref="AA33:AA40">D33-Z33</f>
        <v>75</v>
      </c>
      <c r="AB33" s="125"/>
      <c r="AC33" s="121" t="s">
        <v>142</v>
      </c>
      <c r="AD33" s="122"/>
      <c r="AE33" s="122"/>
      <c r="AF33" s="122"/>
      <c r="AG33" s="117"/>
      <c r="AH33" s="325"/>
    </row>
    <row r="34" spans="1:34" ht="13.5" customHeight="1">
      <c r="A34" s="36" t="s">
        <v>30</v>
      </c>
      <c r="B34" s="37"/>
      <c r="C34" s="281" t="s">
        <v>59</v>
      </c>
      <c r="D34" s="221">
        <f>D37-$AC$34-ROUNDDOWN(0.5*$AC$34,-2)</f>
        <v>4130</v>
      </c>
      <c r="E34" s="222">
        <v>15</v>
      </c>
      <c r="F34" s="223" t="s">
        <v>10</v>
      </c>
      <c r="G34" s="224" t="str">
        <f t="shared" si="0"/>
        <v>$0</v>
      </c>
      <c r="H34" s="225" t="s">
        <v>11</v>
      </c>
      <c r="I34" s="282" t="str">
        <f t="shared" si="1"/>
        <v>$4,130</v>
      </c>
      <c r="J34" s="222">
        <f t="shared" si="2"/>
        <v>15</v>
      </c>
      <c r="K34" s="223" t="s">
        <v>10</v>
      </c>
      <c r="L34" s="224" t="str">
        <f t="shared" si="3"/>
        <v>$0</v>
      </c>
      <c r="M34" s="225" t="s">
        <v>11</v>
      </c>
      <c r="N34" s="228" t="str">
        <f t="shared" si="4"/>
        <v>$4,130</v>
      </c>
      <c r="O34" s="222" t="str">
        <f t="shared" si="5"/>
        <v>$1,875</v>
      </c>
      <c r="P34" s="225" t="s">
        <v>12</v>
      </c>
      <c r="Q34" s="223" t="str">
        <f>DOLLAR(ROUNDUP((I34+2*G34)*0.35,-2)-75,0)</f>
        <v>$1,425</v>
      </c>
      <c r="R34" s="225" t="s">
        <v>12</v>
      </c>
      <c r="S34" s="223" t="str">
        <f t="shared" si="6"/>
        <v>$830</v>
      </c>
      <c r="T34" s="225" t="s">
        <v>11</v>
      </c>
      <c r="U34" s="227" t="str">
        <f t="shared" si="7"/>
        <v>$0</v>
      </c>
      <c r="V34" s="223" t="str">
        <f t="shared" si="8"/>
        <v>x</v>
      </c>
      <c r="W34" s="228">
        <f t="shared" si="9"/>
        <v>13</v>
      </c>
      <c r="X34" s="221">
        <f>$D34-ROUNDDOWN($D34*X30,0)</f>
        <v>3924</v>
      </c>
      <c r="Y34" s="230">
        <f t="shared" si="10"/>
        <v>206</v>
      </c>
      <c r="Z34" s="231">
        <f>$D34-ROUNDDOWN($D34*Z30,0)</f>
        <v>4048</v>
      </c>
      <c r="AA34" s="232">
        <f t="shared" si="11"/>
        <v>82</v>
      </c>
      <c r="AB34" s="125"/>
      <c r="AC34" s="173">
        <f>ROUND(D37*0.12,-2)-50</f>
        <v>550</v>
      </c>
      <c r="AD34" s="156" t="s">
        <v>134</v>
      </c>
      <c r="AE34" s="117"/>
      <c r="AF34" s="117"/>
      <c r="AG34" s="117"/>
      <c r="AH34" s="325" t="s">
        <v>182</v>
      </c>
    </row>
    <row r="35" spans="1:34" ht="13.5" customHeight="1">
      <c r="A35" s="36" t="s">
        <v>31</v>
      </c>
      <c r="B35" s="37"/>
      <c r="C35" s="281" t="s">
        <v>13</v>
      </c>
      <c r="D35" s="221">
        <f>D37-$AC$34</f>
        <v>4330</v>
      </c>
      <c r="E35" s="222">
        <v>18</v>
      </c>
      <c r="F35" s="223" t="s">
        <v>10</v>
      </c>
      <c r="G35" s="224" t="str">
        <f t="shared" si="0"/>
        <v>$0</v>
      </c>
      <c r="H35" s="225" t="s">
        <v>11</v>
      </c>
      <c r="I35" s="282" t="str">
        <f t="shared" si="1"/>
        <v>$4,330</v>
      </c>
      <c r="J35" s="222">
        <f t="shared" si="2"/>
        <v>18</v>
      </c>
      <c r="K35" s="223" t="s">
        <v>10</v>
      </c>
      <c r="L35" s="224" t="str">
        <f t="shared" si="3"/>
        <v>$0</v>
      </c>
      <c r="M35" s="225" t="s">
        <v>11</v>
      </c>
      <c r="N35" s="228" t="str">
        <f t="shared" si="4"/>
        <v>$4,330</v>
      </c>
      <c r="O35" s="222" t="str">
        <f t="shared" si="5"/>
        <v>$1,975</v>
      </c>
      <c r="P35" s="225" t="s">
        <v>12</v>
      </c>
      <c r="Q35" s="223" t="str">
        <f>DOLLAR(ROUNDUP((I35+2*G35)*0.35,-2)-75,0)</f>
        <v>$1,525</v>
      </c>
      <c r="R35" s="225" t="s">
        <v>12</v>
      </c>
      <c r="S35" s="223" t="str">
        <f t="shared" si="6"/>
        <v>$830</v>
      </c>
      <c r="T35" s="225" t="s">
        <v>11</v>
      </c>
      <c r="U35" s="227" t="str">
        <f t="shared" si="7"/>
        <v>$0</v>
      </c>
      <c r="V35" s="223" t="str">
        <f t="shared" si="8"/>
        <v>x</v>
      </c>
      <c r="W35" s="228">
        <f t="shared" si="9"/>
        <v>16</v>
      </c>
      <c r="X35" s="221">
        <f>$D35-ROUNDDOWN($D35*X30,0)</f>
        <v>4114</v>
      </c>
      <c r="Y35" s="230">
        <f t="shared" si="10"/>
        <v>216</v>
      </c>
      <c r="Z35" s="231">
        <f>$D35-ROUNDDOWN($D35*Z30,0)</f>
        <v>4244</v>
      </c>
      <c r="AA35" s="232">
        <f t="shared" si="11"/>
        <v>86</v>
      </c>
      <c r="AB35" s="125"/>
      <c r="AC35" s="126" t="s">
        <v>121</v>
      </c>
      <c r="AD35" s="127"/>
      <c r="AE35" s="128"/>
      <c r="AF35" s="129"/>
      <c r="AG35" s="117"/>
      <c r="AH35" s="325"/>
    </row>
    <row r="36" spans="1:34" ht="13.5" customHeight="1">
      <c r="A36" s="36" t="s">
        <v>32</v>
      </c>
      <c r="B36" s="37"/>
      <c r="C36" s="281" t="s">
        <v>60</v>
      </c>
      <c r="D36" s="221">
        <f>D37-ROUNDUP(0.5*$AC$34,-2)+50</f>
        <v>4630</v>
      </c>
      <c r="E36" s="222">
        <v>21</v>
      </c>
      <c r="F36" s="223" t="s">
        <v>10</v>
      </c>
      <c r="G36" s="224" t="str">
        <f t="shared" si="0"/>
        <v>$0</v>
      </c>
      <c r="H36" s="225" t="s">
        <v>11</v>
      </c>
      <c r="I36" s="282" t="str">
        <f>DOLLAR(D36-(E36*G36),0)</f>
        <v>$4,630</v>
      </c>
      <c r="J36" s="222">
        <f>E36</f>
        <v>21</v>
      </c>
      <c r="K36" s="223" t="s">
        <v>10</v>
      </c>
      <c r="L36" s="224" t="str">
        <f t="shared" si="3"/>
        <v>$0</v>
      </c>
      <c r="M36" s="225" t="s">
        <v>11</v>
      </c>
      <c r="N36" s="228" t="str">
        <f>DOLLAR($D36-(J36*L36),0)</f>
        <v>$4,630</v>
      </c>
      <c r="O36" s="222" t="str">
        <f>DOLLAR(ROUNDUP((I36+2*G36)*0.45,-2)-25,0)</f>
        <v>$2,075</v>
      </c>
      <c r="P36" s="225" t="s">
        <v>12</v>
      </c>
      <c r="Q36" s="223" t="str">
        <f>DOLLAR(ROUNDUP((I36+2*G36)*0.35,-2)-75,0)</f>
        <v>$1,625</v>
      </c>
      <c r="R36" s="225" t="s">
        <v>12</v>
      </c>
      <c r="S36" s="223" t="str">
        <f>DOLLAR(I36+2*G36-O36-Q36,0)</f>
        <v>$930</v>
      </c>
      <c r="T36" s="225" t="s">
        <v>11</v>
      </c>
      <c r="U36" s="227" t="str">
        <f>G36</f>
        <v>$0</v>
      </c>
      <c r="V36" s="223" t="str">
        <f>F36</f>
        <v>x</v>
      </c>
      <c r="W36" s="228">
        <f>ABS(E36-2)</f>
        <v>19</v>
      </c>
      <c r="X36" s="221">
        <f>$D36-ROUNDDOWN($D36*X30,0)</f>
        <v>4399</v>
      </c>
      <c r="Y36" s="230">
        <f t="shared" si="10"/>
        <v>231</v>
      </c>
      <c r="Z36" s="231">
        <f>$D36-ROUNDDOWN($D36*Z30,0)</f>
        <v>4538</v>
      </c>
      <c r="AA36" s="232">
        <f t="shared" si="11"/>
        <v>92</v>
      </c>
      <c r="AB36" s="125"/>
      <c r="AC36" s="130"/>
      <c r="AD36" s="127"/>
      <c r="AE36" s="129"/>
      <c r="AF36" s="129"/>
      <c r="AG36" s="117"/>
      <c r="AH36" s="325"/>
    </row>
    <row r="37" spans="1:34" ht="13.5" customHeight="1">
      <c r="A37" s="41" t="s">
        <v>33</v>
      </c>
      <c r="B37" s="42"/>
      <c r="C37" s="283" t="s">
        <v>14</v>
      </c>
      <c r="D37" s="234">
        <v>4880</v>
      </c>
      <c r="E37" s="235">
        <v>24</v>
      </c>
      <c r="F37" s="236" t="s">
        <v>10</v>
      </c>
      <c r="G37" s="237" t="str">
        <f t="shared" si="0"/>
        <v>$0</v>
      </c>
      <c r="H37" s="238" t="s">
        <v>11</v>
      </c>
      <c r="I37" s="284" t="str">
        <f t="shared" si="1"/>
        <v>$4,880</v>
      </c>
      <c r="J37" s="235">
        <f t="shared" si="2"/>
        <v>24</v>
      </c>
      <c r="K37" s="236" t="s">
        <v>10</v>
      </c>
      <c r="L37" s="237" t="str">
        <f t="shared" si="3"/>
        <v>$0</v>
      </c>
      <c r="M37" s="238" t="s">
        <v>11</v>
      </c>
      <c r="N37" s="241" t="str">
        <f t="shared" si="4"/>
        <v>$4,880</v>
      </c>
      <c r="O37" s="235" t="str">
        <f t="shared" si="5"/>
        <v>$2,175</v>
      </c>
      <c r="P37" s="238" t="s">
        <v>12</v>
      </c>
      <c r="Q37" s="236" t="str">
        <f>DOLLAR(ROUNDUP((I37+2*G37)*0.35,-2)-75,0)</f>
        <v>$1,725</v>
      </c>
      <c r="R37" s="238" t="s">
        <v>12</v>
      </c>
      <c r="S37" s="236" t="str">
        <f t="shared" si="6"/>
        <v>$980</v>
      </c>
      <c r="T37" s="238" t="s">
        <v>11</v>
      </c>
      <c r="U37" s="240" t="str">
        <f t="shared" si="7"/>
        <v>$0</v>
      </c>
      <c r="V37" s="236" t="str">
        <f t="shared" si="8"/>
        <v>x</v>
      </c>
      <c r="W37" s="241">
        <f t="shared" si="9"/>
        <v>22</v>
      </c>
      <c r="X37" s="234">
        <f>$D37-ROUNDDOWN($D37*X30,0)</f>
        <v>4636</v>
      </c>
      <c r="Y37" s="243">
        <f t="shared" si="10"/>
        <v>244</v>
      </c>
      <c r="Z37" s="244">
        <f>$D37-ROUNDDOWN($D37*Z30,0)</f>
        <v>4783</v>
      </c>
      <c r="AA37" s="245">
        <f t="shared" si="11"/>
        <v>97</v>
      </c>
      <c r="AB37" s="125"/>
      <c r="AC37" s="385" t="s">
        <v>141</v>
      </c>
      <c r="AD37" s="386"/>
      <c r="AE37" s="386"/>
      <c r="AF37" s="387"/>
      <c r="AG37" s="117"/>
      <c r="AH37" s="325"/>
    </row>
    <row r="38" spans="1:34" ht="13.5" customHeight="1">
      <c r="A38" s="43"/>
      <c r="B38" s="37"/>
      <c r="C38" s="281" t="s">
        <v>61</v>
      </c>
      <c r="D38" s="221">
        <f>D37+ROUNDDOWN(0.5*$AC$34,-2)+50</f>
        <v>5130</v>
      </c>
      <c r="E38" s="222">
        <v>27</v>
      </c>
      <c r="F38" s="223" t="s">
        <v>10</v>
      </c>
      <c r="G38" s="224" t="str">
        <f t="shared" si="0"/>
        <v>$0</v>
      </c>
      <c r="H38" s="225" t="s">
        <v>11</v>
      </c>
      <c r="I38" s="282" t="str">
        <f>DOLLAR(D38-(E38*G38),0)</f>
        <v>$5,130</v>
      </c>
      <c r="J38" s="222">
        <f>E38</f>
        <v>27</v>
      </c>
      <c r="K38" s="223" t="s">
        <v>10</v>
      </c>
      <c r="L38" s="224" t="str">
        <f t="shared" si="3"/>
        <v>$0</v>
      </c>
      <c r="M38" s="225" t="s">
        <v>11</v>
      </c>
      <c r="N38" s="228" t="str">
        <f>DOLLAR($D38-(J38*L38),0)</f>
        <v>$5,130</v>
      </c>
      <c r="O38" s="222" t="str">
        <f>DOLLAR(ROUNDUP((I38+2*G38)*0.45,-2)-25,0)</f>
        <v>$2,375</v>
      </c>
      <c r="P38" s="225" t="s">
        <v>12</v>
      </c>
      <c r="Q38" s="223" t="str">
        <f>DOLLAR(ROUNDUP((I38+2*G38)*0.35,-2)-100,0)</f>
        <v>$1,700</v>
      </c>
      <c r="R38" s="225" t="s">
        <v>12</v>
      </c>
      <c r="S38" s="223" t="str">
        <f>DOLLAR(I38+2*G38-O38-Q38,0)</f>
        <v>$1,055</v>
      </c>
      <c r="T38" s="225" t="s">
        <v>11</v>
      </c>
      <c r="U38" s="227" t="str">
        <f>G38</f>
        <v>$0</v>
      </c>
      <c r="V38" s="223" t="str">
        <f>F38</f>
        <v>x</v>
      </c>
      <c r="W38" s="228">
        <f>ABS(E38-2)</f>
        <v>25</v>
      </c>
      <c r="X38" s="221">
        <f>$D38-ROUNDDOWN($D38*X30,0)</f>
        <v>4874</v>
      </c>
      <c r="Y38" s="230">
        <f t="shared" si="10"/>
        <v>256</v>
      </c>
      <c r="Z38" s="231">
        <f>$D38-ROUNDDOWN($D38*Z30,0)</f>
        <v>5028</v>
      </c>
      <c r="AA38" s="232">
        <f t="shared" si="11"/>
        <v>102</v>
      </c>
      <c r="AB38" s="125"/>
      <c r="AC38" s="388"/>
      <c r="AD38" s="389"/>
      <c r="AE38" s="389"/>
      <c r="AF38" s="390"/>
      <c r="AG38" s="117"/>
      <c r="AH38" s="325"/>
    </row>
    <row r="39" spans="1:34" ht="13.5" customHeight="1">
      <c r="A39" s="37"/>
      <c r="B39" s="37"/>
      <c r="C39" s="281" t="s">
        <v>15</v>
      </c>
      <c r="D39" s="221">
        <f>D37+$AC$34</f>
        <v>5430</v>
      </c>
      <c r="E39" s="222">
        <v>30</v>
      </c>
      <c r="F39" s="223" t="s">
        <v>10</v>
      </c>
      <c r="G39" s="224" t="str">
        <f t="shared" si="0"/>
        <v>$0</v>
      </c>
      <c r="H39" s="225" t="s">
        <v>11</v>
      </c>
      <c r="I39" s="282" t="str">
        <f t="shared" si="1"/>
        <v>$5,430</v>
      </c>
      <c r="J39" s="222">
        <f t="shared" si="2"/>
        <v>30</v>
      </c>
      <c r="K39" s="223" t="s">
        <v>10</v>
      </c>
      <c r="L39" s="224" t="str">
        <f t="shared" si="3"/>
        <v>$0</v>
      </c>
      <c r="M39" s="225" t="s">
        <v>11</v>
      </c>
      <c r="N39" s="228" t="str">
        <f t="shared" si="4"/>
        <v>$5,430</v>
      </c>
      <c r="O39" s="222" t="str">
        <f t="shared" si="5"/>
        <v>$2,475</v>
      </c>
      <c r="P39" s="225" t="s">
        <v>12</v>
      </c>
      <c r="Q39" s="223" t="str">
        <f>DOLLAR(ROUNDUP((I39+2*G39)*0.35,-2)-75,0)</f>
        <v>$1,925</v>
      </c>
      <c r="R39" s="225" t="s">
        <v>12</v>
      </c>
      <c r="S39" s="223" t="str">
        <f t="shared" si="6"/>
        <v>$1,030</v>
      </c>
      <c r="T39" s="225" t="s">
        <v>11</v>
      </c>
      <c r="U39" s="227" t="str">
        <f t="shared" si="7"/>
        <v>$0</v>
      </c>
      <c r="V39" s="223" t="str">
        <f t="shared" si="8"/>
        <v>x</v>
      </c>
      <c r="W39" s="228">
        <f t="shared" si="9"/>
        <v>28</v>
      </c>
      <c r="X39" s="221">
        <f>$D39-ROUNDDOWN($D39*X30,0)</f>
        <v>5159</v>
      </c>
      <c r="Y39" s="230">
        <f t="shared" si="10"/>
        <v>271</v>
      </c>
      <c r="Z39" s="231">
        <f>$D39-ROUNDDOWN($D39*Z30,0)</f>
        <v>5322</v>
      </c>
      <c r="AA39" s="232">
        <f t="shared" si="11"/>
        <v>108</v>
      </c>
      <c r="AB39" s="125"/>
      <c r="AC39" s="391">
        <v>4880</v>
      </c>
      <c r="AD39" s="392"/>
      <c r="AE39" s="392"/>
      <c r="AF39" s="393"/>
      <c r="AG39" s="117"/>
      <c r="AH39" s="325" t="s">
        <v>165</v>
      </c>
    </row>
    <row r="40" spans="1:34" ht="13.5" customHeight="1" thickBot="1">
      <c r="A40" s="44"/>
      <c r="B40" s="44"/>
      <c r="C40" s="285" t="s">
        <v>16</v>
      </c>
      <c r="D40" s="247">
        <f>D37+2*$AC$34</f>
        <v>5980</v>
      </c>
      <c r="E40" s="274">
        <v>36</v>
      </c>
      <c r="F40" s="255" t="s">
        <v>10</v>
      </c>
      <c r="G40" s="250" t="str">
        <f t="shared" si="0"/>
        <v>$0</v>
      </c>
      <c r="H40" s="275" t="s">
        <v>11</v>
      </c>
      <c r="I40" s="276" t="str">
        <f>DOLLAR(D40-(E40*G40),0)</f>
        <v>$5,980</v>
      </c>
      <c r="J40" s="274">
        <f>E40</f>
        <v>36</v>
      </c>
      <c r="K40" s="255" t="s">
        <v>10</v>
      </c>
      <c r="L40" s="250" t="str">
        <f t="shared" si="3"/>
        <v>$0</v>
      </c>
      <c r="M40" s="275" t="s">
        <v>11</v>
      </c>
      <c r="N40" s="277" t="str">
        <f>DOLLAR($D40-(J40*L40),0)</f>
        <v>$5,980</v>
      </c>
      <c r="O40" s="274" t="str">
        <f>DOLLAR(ROUNDUP((I40+2*G40)*0.45,-2)-25,0)</f>
        <v>$2,675</v>
      </c>
      <c r="P40" s="275" t="s">
        <v>12</v>
      </c>
      <c r="Q40" s="255" t="str">
        <f>DOLLAR(ROUNDUP((I40+2*G40)*0.35,-2)-100,0)</f>
        <v>$2,000</v>
      </c>
      <c r="R40" s="275" t="s">
        <v>12</v>
      </c>
      <c r="S40" s="255" t="str">
        <f>DOLLAR(I40+2*G40-O40-Q40,0)</f>
        <v>$1,305</v>
      </c>
      <c r="T40" s="275" t="s">
        <v>11</v>
      </c>
      <c r="U40" s="278" t="str">
        <f>G40</f>
        <v>$0</v>
      </c>
      <c r="V40" s="255" t="str">
        <f>F40</f>
        <v>x</v>
      </c>
      <c r="W40" s="277">
        <f>ABS(E40-2)</f>
        <v>34</v>
      </c>
      <c r="X40" s="247">
        <f>$D40-ROUNDDOWN($D40*X30,0)</f>
        <v>5681</v>
      </c>
      <c r="Y40" s="257">
        <f t="shared" si="10"/>
        <v>299</v>
      </c>
      <c r="Z40" s="258">
        <f>$D40-ROUNDDOWN($D40*Z30,0)</f>
        <v>5861</v>
      </c>
      <c r="AA40" s="259">
        <f t="shared" si="11"/>
        <v>119</v>
      </c>
      <c r="AB40" s="125"/>
      <c r="AC40" s="327">
        <v>0.05</v>
      </c>
      <c r="AD40" s="328" t="s">
        <v>183</v>
      </c>
      <c r="AE40" s="131"/>
      <c r="AF40" s="132"/>
      <c r="AG40" s="117"/>
      <c r="AH40" s="325" t="s">
        <v>175</v>
      </c>
    </row>
    <row r="41" spans="1:34" ht="14.25" thickBot="1">
      <c r="A41" s="45"/>
      <c r="B41" s="45"/>
      <c r="C41" s="46"/>
      <c r="D41" s="47"/>
      <c r="E41" s="48"/>
      <c r="F41" s="49"/>
      <c r="G41" s="49"/>
      <c r="H41" s="50"/>
      <c r="I41" s="51"/>
      <c r="J41" s="48"/>
      <c r="K41" s="49"/>
      <c r="L41" s="49"/>
      <c r="M41" s="50"/>
      <c r="N41" s="52"/>
      <c r="O41" s="48"/>
      <c r="P41" s="50"/>
      <c r="Q41" s="49"/>
      <c r="R41" s="50"/>
      <c r="S41" s="49"/>
      <c r="T41" s="50"/>
      <c r="U41" s="48"/>
      <c r="V41" s="49"/>
      <c r="W41" s="52"/>
      <c r="X41" s="53"/>
      <c r="Y41" s="54"/>
      <c r="Z41" s="55"/>
      <c r="AA41" s="56"/>
      <c r="AB41" s="125"/>
      <c r="AC41" s="327">
        <v>0.02</v>
      </c>
      <c r="AD41" s="328" t="s">
        <v>184</v>
      </c>
      <c r="AE41" s="131"/>
      <c r="AF41" s="132"/>
      <c r="AG41" s="117"/>
      <c r="AH41" s="325" t="s">
        <v>185</v>
      </c>
    </row>
    <row r="42" spans="3:34" ht="20.25" thickBot="1">
      <c r="C42" s="332" t="s">
        <v>213</v>
      </c>
      <c r="D42" s="5"/>
      <c r="E42" s="5"/>
      <c r="F42" s="5"/>
      <c r="G42" s="6"/>
      <c r="H42" s="6"/>
      <c r="I42" s="7"/>
      <c r="J42" s="5"/>
      <c r="K42" s="5"/>
      <c r="L42" s="6"/>
      <c r="M42" s="6"/>
      <c r="N42" s="57"/>
      <c r="O42" s="10"/>
      <c r="P42" s="11"/>
      <c r="Q42" s="12" t="s">
        <v>49</v>
      </c>
      <c r="R42" s="11"/>
      <c r="S42" s="394">
        <f>S30</f>
        <v>5.05</v>
      </c>
      <c r="T42" s="394"/>
      <c r="U42" s="394"/>
      <c r="V42" s="6"/>
      <c r="W42" s="6"/>
      <c r="X42" s="13">
        <f>X30</f>
        <v>0.05</v>
      </c>
      <c r="Y42" s="13"/>
      <c r="Z42" s="13">
        <f>Z30</f>
        <v>0.02</v>
      </c>
      <c r="AA42" s="14"/>
      <c r="AB42" s="125"/>
      <c r="AC42" s="130"/>
      <c r="AD42" s="129"/>
      <c r="AE42" s="129"/>
      <c r="AF42" s="129"/>
      <c r="AG42" s="117"/>
      <c r="AH42" s="325"/>
    </row>
    <row r="43" spans="1:34" ht="13.5">
      <c r="A43" s="3" t="s">
        <v>26</v>
      </c>
      <c r="B43" s="4"/>
      <c r="C43" s="16" t="s">
        <v>97</v>
      </c>
      <c r="D43" s="17" t="s">
        <v>0</v>
      </c>
      <c r="E43" s="18">
        <v>0.7</v>
      </c>
      <c r="F43" s="19"/>
      <c r="G43" s="375" t="s">
        <v>50</v>
      </c>
      <c r="H43" s="375"/>
      <c r="I43" s="376"/>
      <c r="J43" s="18">
        <v>0.5</v>
      </c>
      <c r="K43" s="20"/>
      <c r="L43" s="377" t="s">
        <v>51</v>
      </c>
      <c r="M43" s="377"/>
      <c r="N43" s="378"/>
      <c r="O43" s="395" t="s">
        <v>130</v>
      </c>
      <c r="P43" s="396"/>
      <c r="Q43" s="396"/>
      <c r="R43" s="396"/>
      <c r="S43" s="396"/>
      <c r="T43" s="396"/>
      <c r="U43" s="396"/>
      <c r="V43" s="396"/>
      <c r="W43" s="397"/>
      <c r="X43" s="382" t="s">
        <v>53</v>
      </c>
      <c r="Y43" s="383"/>
      <c r="Z43" s="383"/>
      <c r="AA43" s="384"/>
      <c r="AB43" s="133"/>
      <c r="AC43" s="401" t="s">
        <v>139</v>
      </c>
      <c r="AD43" s="402"/>
      <c r="AE43" s="402"/>
      <c r="AF43" s="403"/>
      <c r="AG43" s="117"/>
      <c r="AH43" s="325"/>
    </row>
    <row r="44" spans="1:34" ht="22.5">
      <c r="A44" s="15" t="s">
        <v>27</v>
      </c>
      <c r="B44" s="4"/>
      <c r="C44" s="23" t="s">
        <v>1</v>
      </c>
      <c r="D44" s="24" t="s">
        <v>2</v>
      </c>
      <c r="E44" s="25" t="s">
        <v>54</v>
      </c>
      <c r="F44" s="26"/>
      <c r="G44" s="26"/>
      <c r="H44" s="26"/>
      <c r="I44" s="27" t="s">
        <v>3</v>
      </c>
      <c r="J44" s="25" t="s">
        <v>55</v>
      </c>
      <c r="K44" s="26"/>
      <c r="L44" s="26"/>
      <c r="M44" s="26"/>
      <c r="N44" s="28" t="s">
        <v>3</v>
      </c>
      <c r="O44" s="398"/>
      <c r="P44" s="399"/>
      <c r="Q44" s="399"/>
      <c r="R44" s="399"/>
      <c r="S44" s="399"/>
      <c r="T44" s="399"/>
      <c r="U44" s="399"/>
      <c r="V44" s="399"/>
      <c r="W44" s="400"/>
      <c r="X44" s="32" t="s">
        <v>62</v>
      </c>
      <c r="Y44" s="33" t="s">
        <v>57</v>
      </c>
      <c r="Z44" s="34" t="s">
        <v>58</v>
      </c>
      <c r="AA44" s="35" t="s">
        <v>57</v>
      </c>
      <c r="AB44" s="134"/>
      <c r="AC44" s="404"/>
      <c r="AD44" s="405"/>
      <c r="AE44" s="405"/>
      <c r="AF44" s="406"/>
      <c r="AG44" s="117"/>
      <c r="AH44" s="325"/>
    </row>
    <row r="45" spans="1:34" ht="13.5" customHeight="1">
      <c r="A45" s="21" t="s">
        <v>34</v>
      </c>
      <c r="B45" s="22"/>
      <c r="C45" s="286" t="str">
        <f>AF46</f>
        <v>AXB-R</v>
      </c>
      <c r="D45" s="287">
        <f>ROUNDDOWN($S$30*AC46+AE46,-2)+30</f>
        <v>1530</v>
      </c>
      <c r="E45" s="288">
        <f>AD46</f>
        <v>6</v>
      </c>
      <c r="F45" s="211" t="s">
        <v>10</v>
      </c>
      <c r="G45" s="212" t="e">
        <f>DOLLAR(ROUNDUP(+INT(D45*(#REF!)/E45),-1),0)</f>
        <v>#REF!</v>
      </c>
      <c r="H45" s="213" t="s">
        <v>11</v>
      </c>
      <c r="I45" s="214" t="e">
        <f aca="true" t="shared" si="12" ref="I45:I52">DOLLAR(D45-(E45*G45),0)</f>
        <v>#REF!</v>
      </c>
      <c r="J45" s="210">
        <f aca="true" t="shared" si="13" ref="J45:J52">E45</f>
        <v>6</v>
      </c>
      <c r="K45" s="211" t="s">
        <v>10</v>
      </c>
      <c r="L45" s="212" t="e">
        <f>DOLLAR(ROUNDUP(+INT(D45*(#REF!)/E45),-1),0)</f>
        <v>#REF!</v>
      </c>
      <c r="M45" s="213" t="s">
        <v>11</v>
      </c>
      <c r="N45" s="215" t="e">
        <f aca="true" t="shared" si="14" ref="N45:N52">DOLLAR($D45-(J45*L45),0)</f>
        <v>#REF!</v>
      </c>
      <c r="O45" s="297" t="s">
        <v>154</v>
      </c>
      <c r="P45" s="213"/>
      <c r="Q45" s="211"/>
      <c r="R45" s="213"/>
      <c r="S45" s="211"/>
      <c r="T45" s="213"/>
      <c r="U45" s="216"/>
      <c r="V45" s="211"/>
      <c r="W45" s="298"/>
      <c r="X45" s="209">
        <f>$D45-ROUNDDOWN($D45*X42,0)</f>
        <v>1454</v>
      </c>
      <c r="Y45" s="217">
        <f>D45-X45</f>
        <v>76</v>
      </c>
      <c r="Z45" s="218">
        <f>$D45-ROUNDDOWN($D45*Z42,0)</f>
        <v>1500</v>
      </c>
      <c r="AA45" s="261">
        <f>D45-Z45</f>
        <v>30</v>
      </c>
      <c r="AB45" s="135"/>
      <c r="AC45" s="136" t="s">
        <v>138</v>
      </c>
      <c r="AD45" s="190" t="s">
        <v>140</v>
      </c>
      <c r="AE45" s="137" t="s">
        <v>117</v>
      </c>
      <c r="AF45" s="191" t="s">
        <v>136</v>
      </c>
      <c r="AG45" s="117"/>
      <c r="AH45" s="325"/>
    </row>
    <row r="46" spans="1:34" ht="13.5" customHeight="1">
      <c r="A46" s="36" t="s">
        <v>35</v>
      </c>
      <c r="B46" s="37"/>
      <c r="C46" s="289" t="str">
        <f>AF47</f>
        <v>RPE-Band</v>
      </c>
      <c r="D46" s="290">
        <f aca="true" t="shared" si="15" ref="D46:D54">ROUNDDOWN($S$30*AC47+AE47,-2)+30</f>
        <v>2330</v>
      </c>
      <c r="E46" s="291">
        <f aca="true" t="shared" si="16" ref="E46:E54">AD47</f>
        <v>6</v>
      </c>
      <c r="F46" s="265" t="s">
        <v>10</v>
      </c>
      <c r="G46" s="266" t="e">
        <f>DOLLAR(ROUNDUP(+INT(D46*(#REF!)/E46),-1),0)</f>
        <v>#REF!</v>
      </c>
      <c r="H46" s="267" t="s">
        <v>11</v>
      </c>
      <c r="I46" s="268" t="e">
        <f t="shared" si="12"/>
        <v>#REF!</v>
      </c>
      <c r="J46" s="264">
        <f t="shared" si="13"/>
        <v>6</v>
      </c>
      <c r="K46" s="265" t="s">
        <v>10</v>
      </c>
      <c r="L46" s="266" t="e">
        <f>DOLLAR(ROUNDUP(+INT(D46*(#REF!)/E46),-1),0)</f>
        <v>#REF!</v>
      </c>
      <c r="M46" s="267" t="s">
        <v>11</v>
      </c>
      <c r="N46" s="269" t="e">
        <f t="shared" si="14"/>
        <v>#REF!</v>
      </c>
      <c r="O46" s="299" t="s">
        <v>153</v>
      </c>
      <c r="P46" s="267"/>
      <c r="Q46" s="265"/>
      <c r="R46" s="267"/>
      <c r="S46" s="265"/>
      <c r="T46" s="267"/>
      <c r="U46" s="270"/>
      <c r="V46" s="265"/>
      <c r="W46" s="300"/>
      <c r="X46" s="221">
        <f>$D46-ROUNDDOWN($D46*X42,0)</f>
        <v>2214</v>
      </c>
      <c r="Y46" s="230">
        <f aca="true" t="shared" si="17" ref="Y46:Y54">D46-X46</f>
        <v>116</v>
      </c>
      <c r="Z46" s="231">
        <f>$D46-ROUNDDOWN($D46*Z42,0)</f>
        <v>2284</v>
      </c>
      <c r="AA46" s="271">
        <f aca="true" t="shared" si="18" ref="AA46:AA54">D46-Z46</f>
        <v>46</v>
      </c>
      <c r="AB46" s="138"/>
      <c r="AC46" s="181">
        <v>300</v>
      </c>
      <c r="AD46" s="192">
        <v>6</v>
      </c>
      <c r="AE46" s="193">
        <v>80</v>
      </c>
      <c r="AF46" s="177" t="s">
        <v>22</v>
      </c>
      <c r="AG46" s="117"/>
      <c r="AH46" s="325" t="s">
        <v>166</v>
      </c>
    </row>
    <row r="47" spans="1:34" ht="13.5" customHeight="1">
      <c r="A47" s="36" t="s">
        <v>36</v>
      </c>
      <c r="B47" s="37"/>
      <c r="C47" s="289" t="str">
        <f aca="true" t="shared" si="19" ref="C47:C54">AF48</f>
        <v>RPE-Bond</v>
      </c>
      <c r="D47" s="290">
        <f t="shared" si="15"/>
        <v>2030</v>
      </c>
      <c r="E47" s="291">
        <f t="shared" si="16"/>
        <v>6</v>
      </c>
      <c r="F47" s="223" t="s">
        <v>10</v>
      </c>
      <c r="G47" s="224" t="e">
        <f>DOLLAR(ROUNDUP(+INT(D47*(#REF!)/E47),-1),0)</f>
        <v>#REF!</v>
      </c>
      <c r="H47" s="225" t="s">
        <v>11</v>
      </c>
      <c r="I47" s="282" t="e">
        <f t="shared" si="12"/>
        <v>#REF!</v>
      </c>
      <c r="J47" s="264">
        <f t="shared" si="13"/>
        <v>6</v>
      </c>
      <c r="K47" s="223" t="s">
        <v>10</v>
      </c>
      <c r="L47" s="224" t="e">
        <f>DOLLAR(ROUNDUP(+INT(D47*(#REF!)/E47),-1),0)</f>
        <v>#REF!</v>
      </c>
      <c r="M47" s="225" t="s">
        <v>11</v>
      </c>
      <c r="N47" s="228" t="e">
        <f t="shared" si="14"/>
        <v>#REF!</v>
      </c>
      <c r="O47" s="299" t="s">
        <v>193</v>
      </c>
      <c r="P47" s="225"/>
      <c r="Q47" s="223"/>
      <c r="R47" s="225"/>
      <c r="S47" s="223"/>
      <c r="T47" s="225"/>
      <c r="U47" s="227"/>
      <c r="V47" s="223"/>
      <c r="W47" s="229"/>
      <c r="X47" s="221">
        <f>$D47-ROUNDDOWN($D47*X42,0)</f>
        <v>1929</v>
      </c>
      <c r="Y47" s="230">
        <f t="shared" si="17"/>
        <v>101</v>
      </c>
      <c r="Z47" s="231">
        <f>$D47-ROUNDDOWN($D47*Z42,0)</f>
        <v>1990</v>
      </c>
      <c r="AA47" s="271">
        <f t="shared" si="18"/>
        <v>40</v>
      </c>
      <c r="AB47" s="138"/>
      <c r="AC47" s="194">
        <v>450</v>
      </c>
      <c r="AD47" s="195">
        <v>6</v>
      </c>
      <c r="AE47" s="196">
        <v>80</v>
      </c>
      <c r="AF47" s="178" t="s">
        <v>161</v>
      </c>
      <c r="AG47" s="117"/>
      <c r="AH47" s="325"/>
    </row>
    <row r="48" spans="1:34" ht="13.5" customHeight="1">
      <c r="A48" s="36" t="s">
        <v>47</v>
      </c>
      <c r="B48" s="37"/>
      <c r="C48" s="289" t="str">
        <f t="shared" si="19"/>
        <v>Herbst</v>
      </c>
      <c r="D48" s="290">
        <f t="shared" si="15"/>
        <v>1830</v>
      </c>
      <c r="E48" s="291">
        <f t="shared" si="16"/>
        <v>12</v>
      </c>
      <c r="F48" s="265" t="s">
        <v>10</v>
      </c>
      <c r="G48" s="266" t="e">
        <f>DOLLAR(ROUNDUP(+INT(D48*(#REF!)/E48),-1),0)</f>
        <v>#REF!</v>
      </c>
      <c r="H48" s="267" t="s">
        <v>11</v>
      </c>
      <c r="I48" s="268" t="e">
        <f>DOLLAR(D48-(E48*G48),0)</f>
        <v>#REF!</v>
      </c>
      <c r="J48" s="264">
        <f>E48</f>
        <v>12</v>
      </c>
      <c r="K48" s="265" t="s">
        <v>10</v>
      </c>
      <c r="L48" s="266" t="e">
        <f>DOLLAR(ROUNDUP(+INT(D48*(#REF!)/E48),-1),0)</f>
        <v>#REF!</v>
      </c>
      <c r="M48" s="267" t="s">
        <v>11</v>
      </c>
      <c r="N48" s="269" t="e">
        <f>DOLLAR($D48-(J48*L48),0)</f>
        <v>#REF!</v>
      </c>
      <c r="O48" s="301" t="s">
        <v>194</v>
      </c>
      <c r="P48" s="267"/>
      <c r="Q48" s="265"/>
      <c r="R48" s="267"/>
      <c r="S48" s="265"/>
      <c r="T48" s="267"/>
      <c r="U48" s="270"/>
      <c r="V48" s="265"/>
      <c r="W48" s="300"/>
      <c r="X48" s="221">
        <f>$D48-ROUNDDOWN($D48*X42,0)</f>
        <v>1739</v>
      </c>
      <c r="Y48" s="230">
        <f t="shared" si="17"/>
        <v>91</v>
      </c>
      <c r="Z48" s="231">
        <f>$D48-ROUNDDOWN($D48*Z42,0)</f>
        <v>1794</v>
      </c>
      <c r="AA48" s="271">
        <f t="shared" si="18"/>
        <v>36</v>
      </c>
      <c r="AB48" s="138"/>
      <c r="AC48" s="194">
        <v>390</v>
      </c>
      <c r="AD48" s="195">
        <v>6</v>
      </c>
      <c r="AE48" s="196">
        <v>80</v>
      </c>
      <c r="AF48" s="178" t="s">
        <v>197</v>
      </c>
      <c r="AG48" s="117"/>
      <c r="AH48" s="325"/>
    </row>
    <row r="49" spans="1:34" ht="13.5" customHeight="1">
      <c r="A49" s="36" t="s">
        <v>37</v>
      </c>
      <c r="B49" s="37"/>
      <c r="C49" s="289" t="str">
        <f t="shared" si="19"/>
        <v>Pend-12</v>
      </c>
      <c r="D49" s="290">
        <f t="shared" si="15"/>
        <v>2530</v>
      </c>
      <c r="E49" s="291">
        <f t="shared" si="16"/>
        <v>12</v>
      </c>
      <c r="F49" s="265" t="s">
        <v>10</v>
      </c>
      <c r="G49" s="266" t="e">
        <f>DOLLAR(ROUNDUP(+INT(D49*(#REF!)/E49),-1),0)</f>
        <v>#REF!</v>
      </c>
      <c r="H49" s="267" t="s">
        <v>11</v>
      </c>
      <c r="I49" s="268" t="e">
        <f>DOLLAR(D49-(E49*G49),0)</f>
        <v>#REF!</v>
      </c>
      <c r="J49" s="264">
        <f>E49</f>
        <v>12</v>
      </c>
      <c r="K49" s="265" t="s">
        <v>10</v>
      </c>
      <c r="L49" s="266" t="e">
        <f>DOLLAR(ROUNDUP(+INT(D49*(#REF!)/E49),-1),0)</f>
        <v>#REF!</v>
      </c>
      <c r="M49" s="267" t="s">
        <v>11</v>
      </c>
      <c r="N49" s="269" t="e">
        <f>DOLLAR($D49-(J49*L49),0)</f>
        <v>#REF!</v>
      </c>
      <c r="O49" s="299" t="s">
        <v>195</v>
      </c>
      <c r="P49" s="267"/>
      <c r="Q49" s="265"/>
      <c r="R49" s="267"/>
      <c r="S49" s="265"/>
      <c r="T49" s="267"/>
      <c r="U49" s="270"/>
      <c r="V49" s="265"/>
      <c r="W49" s="300"/>
      <c r="X49" s="221">
        <f>$D49-ROUNDDOWN($D49*X42,0)</f>
        <v>2404</v>
      </c>
      <c r="Y49" s="230">
        <f t="shared" si="17"/>
        <v>126</v>
      </c>
      <c r="Z49" s="231">
        <f>$D49-ROUNDDOWN($D49*Z42,0)</f>
        <v>2480</v>
      </c>
      <c r="AA49" s="271">
        <f t="shared" si="18"/>
        <v>50</v>
      </c>
      <c r="AB49" s="138"/>
      <c r="AC49" s="194">
        <v>375</v>
      </c>
      <c r="AD49" s="195">
        <v>12</v>
      </c>
      <c r="AE49" s="196">
        <v>0</v>
      </c>
      <c r="AF49" s="178" t="s">
        <v>137</v>
      </c>
      <c r="AG49" s="117"/>
      <c r="AH49" s="325"/>
    </row>
    <row r="50" spans="1:34" ht="13.5" customHeight="1">
      <c r="A50" s="58" t="s">
        <v>38</v>
      </c>
      <c r="B50" s="37"/>
      <c r="C50" s="289" t="str">
        <f t="shared" si="19"/>
        <v>Twin-Block</v>
      </c>
      <c r="D50" s="290">
        <f t="shared" si="15"/>
        <v>2730</v>
      </c>
      <c r="E50" s="291">
        <f t="shared" si="16"/>
        <v>15</v>
      </c>
      <c r="F50" s="265" t="s">
        <v>10</v>
      </c>
      <c r="G50" s="266" t="e">
        <f>DOLLAR(ROUNDUP(+INT(D50*(#REF!)/E50),-1),0)</f>
        <v>#REF!</v>
      </c>
      <c r="H50" s="267" t="s">
        <v>11</v>
      </c>
      <c r="I50" s="268" t="e">
        <f t="shared" si="12"/>
        <v>#REF!</v>
      </c>
      <c r="J50" s="264">
        <f t="shared" si="13"/>
        <v>15</v>
      </c>
      <c r="K50" s="265" t="s">
        <v>10</v>
      </c>
      <c r="L50" s="266" t="e">
        <f>DOLLAR(ROUNDUP(+INT(D50*(#REF!)/E50),-1),0)</f>
        <v>#REF!</v>
      </c>
      <c r="M50" s="267" t="s">
        <v>11</v>
      </c>
      <c r="N50" s="269" t="e">
        <f t="shared" si="14"/>
        <v>#REF!</v>
      </c>
      <c r="O50" s="301" t="s">
        <v>152</v>
      </c>
      <c r="P50" s="267"/>
      <c r="Q50" s="265"/>
      <c r="R50" s="267"/>
      <c r="S50" s="265"/>
      <c r="T50" s="267"/>
      <c r="U50" s="270"/>
      <c r="V50" s="265"/>
      <c r="W50" s="300"/>
      <c r="X50" s="221">
        <f>$D50-ROUNDDOWN($D50*X42,0)</f>
        <v>2594</v>
      </c>
      <c r="Y50" s="230">
        <f t="shared" si="17"/>
        <v>136</v>
      </c>
      <c r="Z50" s="231">
        <f>$D50-ROUNDDOWN($D50*Z42,0)</f>
        <v>2676</v>
      </c>
      <c r="AA50" s="271">
        <f t="shared" si="18"/>
        <v>54</v>
      </c>
      <c r="AB50" s="138"/>
      <c r="AC50" s="194">
        <v>480</v>
      </c>
      <c r="AD50" s="195">
        <v>12</v>
      </c>
      <c r="AE50" s="196">
        <v>80</v>
      </c>
      <c r="AF50" s="178" t="s">
        <v>160</v>
      </c>
      <c r="AG50" s="117"/>
      <c r="AH50" s="325"/>
    </row>
    <row r="51" spans="1:34" ht="13.5" customHeight="1">
      <c r="A51" s="44"/>
      <c r="B51" s="44"/>
      <c r="C51" s="289" t="str">
        <f t="shared" si="19"/>
        <v>LB</v>
      </c>
      <c r="D51" s="290">
        <f t="shared" si="15"/>
        <v>930</v>
      </c>
      <c r="E51" s="291">
        <f t="shared" si="16"/>
        <v>12</v>
      </c>
      <c r="F51" s="265" t="s">
        <v>10</v>
      </c>
      <c r="G51" s="266" t="e">
        <f>DOLLAR(ROUNDUP(+INT(D51*(#REF!)/E51),-1),0)</f>
        <v>#REF!</v>
      </c>
      <c r="H51" s="267" t="s">
        <v>11</v>
      </c>
      <c r="I51" s="268" t="e">
        <f t="shared" si="12"/>
        <v>#REF!</v>
      </c>
      <c r="J51" s="264">
        <f t="shared" si="13"/>
        <v>12</v>
      </c>
      <c r="K51" s="265" t="s">
        <v>10</v>
      </c>
      <c r="L51" s="266" t="e">
        <f>DOLLAR(ROUNDUP(+INT(D51*(#REF!)/E51),-1),0)</f>
        <v>#REF!</v>
      </c>
      <c r="M51" s="267" t="s">
        <v>11</v>
      </c>
      <c r="N51" s="269" t="e">
        <f t="shared" si="14"/>
        <v>#REF!</v>
      </c>
      <c r="O51" s="301" t="s">
        <v>196</v>
      </c>
      <c r="P51" s="267"/>
      <c r="Q51" s="265"/>
      <c r="R51" s="267"/>
      <c r="S51" s="265"/>
      <c r="T51" s="267"/>
      <c r="U51" s="270"/>
      <c r="V51" s="265"/>
      <c r="W51" s="300"/>
      <c r="X51" s="221">
        <f>$D51-ROUNDDOWN($D51*X42,0)</f>
        <v>884</v>
      </c>
      <c r="Y51" s="230">
        <f t="shared" si="17"/>
        <v>46</v>
      </c>
      <c r="Z51" s="231">
        <f>$D51-ROUNDDOWN($D51*Z42,0)</f>
        <v>912</v>
      </c>
      <c r="AA51" s="271">
        <f t="shared" si="18"/>
        <v>18</v>
      </c>
      <c r="AB51" s="138"/>
      <c r="AC51" s="194">
        <v>515</v>
      </c>
      <c r="AD51" s="195">
        <v>15</v>
      </c>
      <c r="AE51" s="196">
        <v>120</v>
      </c>
      <c r="AF51" s="178" t="s">
        <v>159</v>
      </c>
      <c r="AG51" s="117"/>
      <c r="AH51" s="325"/>
    </row>
    <row r="52" spans="1:34" ht="13.5" customHeight="1">
      <c r="A52" s="44"/>
      <c r="B52" s="44"/>
      <c r="C52" s="289" t="str">
        <f t="shared" si="19"/>
        <v>SAG</v>
      </c>
      <c r="D52" s="290">
        <f t="shared" si="15"/>
        <v>1630</v>
      </c>
      <c r="E52" s="291">
        <f t="shared" si="16"/>
        <v>6</v>
      </c>
      <c r="F52" s="265" t="s">
        <v>10</v>
      </c>
      <c r="G52" s="266" t="e">
        <f>DOLLAR(ROUNDUP(+INT(D52*(#REF!)/E52),-1),0)</f>
        <v>#REF!</v>
      </c>
      <c r="H52" s="267" t="s">
        <v>11</v>
      </c>
      <c r="I52" s="268" t="e">
        <f t="shared" si="12"/>
        <v>#REF!</v>
      </c>
      <c r="J52" s="264">
        <f t="shared" si="13"/>
        <v>6</v>
      </c>
      <c r="K52" s="265" t="s">
        <v>10</v>
      </c>
      <c r="L52" s="266" t="e">
        <f>DOLLAR(ROUNDUP(+INT(D52*(#REF!)/E52),-1),0)</f>
        <v>#REF!</v>
      </c>
      <c r="M52" s="267" t="s">
        <v>11</v>
      </c>
      <c r="N52" s="269" t="e">
        <f t="shared" si="14"/>
        <v>#REF!</v>
      </c>
      <c r="O52" s="302" t="s">
        <v>192</v>
      </c>
      <c r="P52" s="267"/>
      <c r="Q52" s="265"/>
      <c r="R52" s="267"/>
      <c r="S52" s="265"/>
      <c r="T52" s="267"/>
      <c r="U52" s="270"/>
      <c r="V52" s="265"/>
      <c r="W52" s="300"/>
      <c r="X52" s="221">
        <f>$D52-ROUNDDOWN($D52*X42,0)</f>
        <v>1549</v>
      </c>
      <c r="Y52" s="230">
        <f t="shared" si="17"/>
        <v>81</v>
      </c>
      <c r="Z52" s="231">
        <f>$D52-ROUNDDOWN($D52*Z42,0)</f>
        <v>1598</v>
      </c>
      <c r="AA52" s="271">
        <f t="shared" si="18"/>
        <v>32</v>
      </c>
      <c r="AB52" s="138"/>
      <c r="AC52" s="194">
        <v>190</v>
      </c>
      <c r="AD52" s="195">
        <v>12</v>
      </c>
      <c r="AE52" s="196">
        <v>40</v>
      </c>
      <c r="AF52" s="178" t="s">
        <v>158</v>
      </c>
      <c r="AG52" s="117"/>
      <c r="AH52" s="325"/>
    </row>
    <row r="53" spans="3:34" ht="13.5" customHeight="1">
      <c r="C53" s="289" t="str">
        <f t="shared" si="19"/>
        <v>Funct-18</v>
      </c>
      <c r="D53" s="290">
        <f t="shared" si="15"/>
        <v>3130</v>
      </c>
      <c r="E53" s="291">
        <f t="shared" si="16"/>
        <v>18</v>
      </c>
      <c r="F53" s="265" t="s">
        <v>10</v>
      </c>
      <c r="G53" s="266" t="e">
        <f>DOLLAR(ROUNDUP(+INT(D53*(#REF!)/E53),-1),0)</f>
        <v>#REF!</v>
      </c>
      <c r="H53" s="267" t="s">
        <v>11</v>
      </c>
      <c r="I53" s="268" t="e">
        <f>DOLLAR(D53-(E53*G53),0)</f>
        <v>#REF!</v>
      </c>
      <c r="J53" s="264">
        <f>E53</f>
        <v>18</v>
      </c>
      <c r="K53" s="265" t="s">
        <v>10</v>
      </c>
      <c r="L53" s="266" t="e">
        <f>DOLLAR(ROUNDUP(+INT(D53*(#REF!)/E53),-1),0)</f>
        <v>#REF!</v>
      </c>
      <c r="M53" s="267" t="s">
        <v>11</v>
      </c>
      <c r="N53" s="269" t="e">
        <f>DOLLAR($D53-(J53*L53),0)</f>
        <v>#REF!</v>
      </c>
      <c r="O53" s="303" t="s">
        <v>151</v>
      </c>
      <c r="P53" s="267"/>
      <c r="Q53" s="265"/>
      <c r="R53" s="267"/>
      <c r="S53" s="265"/>
      <c r="T53" s="267"/>
      <c r="U53" s="270"/>
      <c r="V53" s="265"/>
      <c r="W53" s="300"/>
      <c r="X53" s="221">
        <f>$D53-ROUNDDOWN($D53*X42,0)</f>
        <v>2974</v>
      </c>
      <c r="Y53" s="230">
        <f t="shared" si="17"/>
        <v>156</v>
      </c>
      <c r="Z53" s="231">
        <f>$D53-ROUNDDOWN($D53*Z42,0)</f>
        <v>3068</v>
      </c>
      <c r="AA53" s="271">
        <f t="shared" si="18"/>
        <v>62</v>
      </c>
      <c r="AB53" s="138"/>
      <c r="AC53" s="197">
        <v>305</v>
      </c>
      <c r="AD53" s="198">
        <v>6</v>
      </c>
      <c r="AE53" s="199">
        <v>120</v>
      </c>
      <c r="AF53" s="200" t="s">
        <v>157</v>
      </c>
      <c r="AG53" s="117"/>
      <c r="AH53" s="325"/>
    </row>
    <row r="54" spans="3:34" ht="13.5" customHeight="1" thickBot="1">
      <c r="C54" s="292" t="str">
        <f t="shared" si="19"/>
        <v>Funct-24</v>
      </c>
      <c r="D54" s="293">
        <f t="shared" si="15"/>
        <v>3430</v>
      </c>
      <c r="E54" s="294">
        <f t="shared" si="16"/>
        <v>24</v>
      </c>
      <c r="F54" s="249" t="s">
        <v>10</v>
      </c>
      <c r="G54" s="295" t="e">
        <f>DOLLAR(ROUNDUP(+INT(D54*(#REF!)/E54),-1),0)</f>
        <v>#REF!</v>
      </c>
      <c r="H54" s="251" t="s">
        <v>11</v>
      </c>
      <c r="I54" s="296" t="e">
        <f>DOLLAR(D54-(E54*G54),0)</f>
        <v>#REF!</v>
      </c>
      <c r="J54" s="248">
        <f>E54</f>
        <v>24</v>
      </c>
      <c r="K54" s="249" t="s">
        <v>10</v>
      </c>
      <c r="L54" s="295" t="e">
        <f>DOLLAR(ROUNDUP(+INT(D54*(#REF!)/E54),-1),0)</f>
        <v>#REF!</v>
      </c>
      <c r="M54" s="251" t="s">
        <v>11</v>
      </c>
      <c r="N54" s="254" t="e">
        <f>DOLLAR($D54-(J54*L54),0)</f>
        <v>#REF!</v>
      </c>
      <c r="O54" s="304" t="s">
        <v>150</v>
      </c>
      <c r="P54" s="275"/>
      <c r="Q54" s="255"/>
      <c r="R54" s="275"/>
      <c r="S54" s="255"/>
      <c r="T54" s="275"/>
      <c r="U54" s="278"/>
      <c r="V54" s="255"/>
      <c r="W54" s="305"/>
      <c r="X54" s="247">
        <f>$D54-ROUNDDOWN($D54*X42,0)</f>
        <v>3259</v>
      </c>
      <c r="Y54" s="257">
        <f t="shared" si="17"/>
        <v>171</v>
      </c>
      <c r="Z54" s="258">
        <f>$D54-ROUNDDOWN($D54*Z42,0)</f>
        <v>3362</v>
      </c>
      <c r="AA54" s="279">
        <f t="shared" si="18"/>
        <v>68</v>
      </c>
      <c r="AB54" s="138"/>
      <c r="AC54" s="197">
        <v>585</v>
      </c>
      <c r="AD54" s="198">
        <v>18</v>
      </c>
      <c r="AE54" s="199">
        <v>165</v>
      </c>
      <c r="AF54" s="200" t="s">
        <v>156</v>
      </c>
      <c r="AG54" s="117"/>
      <c r="AH54" s="325"/>
    </row>
    <row r="55" spans="3:34" ht="14.25" thickBot="1">
      <c r="C55" s="46"/>
      <c r="D55" s="47"/>
      <c r="E55" s="48"/>
      <c r="F55" s="49"/>
      <c r="G55" s="49"/>
      <c r="H55" s="50"/>
      <c r="I55" s="51"/>
      <c r="J55" s="48"/>
      <c r="K55" s="49"/>
      <c r="L55" s="49"/>
      <c r="M55" s="50"/>
      <c r="N55" s="52"/>
      <c r="O55" s="48"/>
      <c r="P55" s="50"/>
      <c r="Q55" s="49"/>
      <c r="R55" s="50"/>
      <c r="S55" s="49"/>
      <c r="T55" s="50"/>
      <c r="U55" s="48"/>
      <c r="V55" s="49"/>
      <c r="W55" s="52"/>
      <c r="X55" s="40"/>
      <c r="Y55" s="39"/>
      <c r="Z55" s="59"/>
      <c r="AA55" s="56"/>
      <c r="AB55" s="138"/>
      <c r="AC55" s="201">
        <v>660</v>
      </c>
      <c r="AD55" s="202">
        <v>24</v>
      </c>
      <c r="AE55" s="203">
        <v>165</v>
      </c>
      <c r="AF55" s="204" t="s">
        <v>155</v>
      </c>
      <c r="AG55" s="117"/>
      <c r="AH55" s="325"/>
    </row>
    <row r="56" spans="1:34" ht="21" thickBot="1">
      <c r="A56" s="3" t="s">
        <v>39</v>
      </c>
      <c r="B56" s="54"/>
      <c r="C56" s="332" t="s">
        <v>214</v>
      </c>
      <c r="D56" s="60"/>
      <c r="E56" s="60"/>
      <c r="F56" s="60"/>
      <c r="G56" s="60"/>
      <c r="H56" s="60"/>
      <c r="I56" s="61"/>
      <c r="J56" s="60"/>
      <c r="K56" s="60"/>
      <c r="L56" s="60"/>
      <c r="M56" s="60"/>
      <c r="N56" s="57"/>
      <c r="O56" s="10"/>
      <c r="P56" s="11"/>
      <c r="Q56" s="12" t="s">
        <v>49</v>
      </c>
      <c r="R56" s="11"/>
      <c r="S56" s="394">
        <f>S30</f>
        <v>5.05</v>
      </c>
      <c r="T56" s="394"/>
      <c r="U56" s="394"/>
      <c r="V56" s="6"/>
      <c r="W56" s="6"/>
      <c r="X56" s="13">
        <f>X42</f>
        <v>0.05</v>
      </c>
      <c r="Y56" s="13"/>
      <c r="Z56" s="13">
        <f>Z42</f>
        <v>0.02</v>
      </c>
      <c r="AA56" s="14"/>
      <c r="AB56" s="139"/>
      <c r="AC56" s="116" t="s">
        <v>122</v>
      </c>
      <c r="AD56" s="129"/>
      <c r="AE56" s="129"/>
      <c r="AF56" s="129"/>
      <c r="AG56" s="117"/>
      <c r="AH56" s="325"/>
    </row>
    <row r="57" spans="1:34" ht="15.75">
      <c r="A57" s="15" t="s">
        <v>40</v>
      </c>
      <c r="B57" s="4"/>
      <c r="C57" s="16" t="s">
        <v>97</v>
      </c>
      <c r="D57" s="17" t="s">
        <v>0</v>
      </c>
      <c r="E57" s="18">
        <v>0.7</v>
      </c>
      <c r="F57" s="19"/>
      <c r="G57" s="375" t="s">
        <v>50</v>
      </c>
      <c r="H57" s="375"/>
      <c r="I57" s="376"/>
      <c r="J57" s="18">
        <v>0.5</v>
      </c>
      <c r="K57" s="20"/>
      <c r="L57" s="377" t="s">
        <v>51</v>
      </c>
      <c r="M57" s="377"/>
      <c r="N57" s="378"/>
      <c r="O57" s="379" t="s">
        <v>52</v>
      </c>
      <c r="P57" s="380"/>
      <c r="Q57" s="380"/>
      <c r="R57" s="380"/>
      <c r="S57" s="380"/>
      <c r="T57" s="380"/>
      <c r="U57" s="380"/>
      <c r="V57" s="380"/>
      <c r="W57" s="381"/>
      <c r="X57" s="382" t="s">
        <v>53</v>
      </c>
      <c r="Y57" s="383"/>
      <c r="Z57" s="383"/>
      <c r="AA57" s="384"/>
      <c r="AB57" s="133"/>
      <c r="AC57" s="407">
        <v>500</v>
      </c>
      <c r="AD57" s="408"/>
      <c r="AE57" s="117"/>
      <c r="AF57" s="117"/>
      <c r="AG57" s="117"/>
      <c r="AH57" s="325" t="s">
        <v>167</v>
      </c>
    </row>
    <row r="58" spans="1:34" ht="22.5">
      <c r="A58" s="21" t="s">
        <v>41</v>
      </c>
      <c r="B58" s="4"/>
      <c r="C58" s="23" t="s">
        <v>1</v>
      </c>
      <c r="D58" s="24" t="s">
        <v>2</v>
      </c>
      <c r="E58" s="25" t="s">
        <v>54</v>
      </c>
      <c r="F58" s="26"/>
      <c r="G58" s="26"/>
      <c r="H58" s="26"/>
      <c r="I58" s="27" t="s">
        <v>3</v>
      </c>
      <c r="J58" s="25" t="s">
        <v>55</v>
      </c>
      <c r="K58" s="26"/>
      <c r="L58" s="26"/>
      <c r="M58" s="26"/>
      <c r="N58" s="28" t="s">
        <v>3</v>
      </c>
      <c r="O58" s="29" t="s">
        <v>4</v>
      </c>
      <c r="P58" s="30"/>
      <c r="Q58" s="30" t="s">
        <v>5</v>
      </c>
      <c r="R58" s="30"/>
      <c r="S58" s="30" t="s">
        <v>6</v>
      </c>
      <c r="T58" s="30"/>
      <c r="U58" s="30" t="s">
        <v>7</v>
      </c>
      <c r="V58" s="30"/>
      <c r="W58" s="31" t="s">
        <v>8</v>
      </c>
      <c r="X58" s="32" t="s">
        <v>62</v>
      </c>
      <c r="Y58" s="33" t="s">
        <v>57</v>
      </c>
      <c r="Z58" s="34" t="s">
        <v>58</v>
      </c>
      <c r="AA58" s="35" t="s">
        <v>57</v>
      </c>
      <c r="AB58" s="134"/>
      <c r="AC58" s="140" t="s">
        <v>129</v>
      </c>
      <c r="AD58" s="122"/>
      <c r="AE58" s="122"/>
      <c r="AF58" s="122"/>
      <c r="AG58" s="117"/>
      <c r="AH58" s="325"/>
    </row>
    <row r="59" spans="1:34" ht="13.5" customHeight="1">
      <c r="A59" s="36" t="s">
        <v>42</v>
      </c>
      <c r="B59" s="22"/>
      <c r="C59" s="208" t="s">
        <v>73</v>
      </c>
      <c r="D59" s="260">
        <f>D33-$AC$34</f>
        <v>3230</v>
      </c>
      <c r="E59" s="210">
        <v>12</v>
      </c>
      <c r="F59" s="211" t="s">
        <v>10</v>
      </c>
      <c r="G59" s="212" t="str">
        <f>DOLLAR(ROUNDUP(+INT(D59*($E$34)/E59),-1),0)</f>
        <v>$4,040</v>
      </c>
      <c r="H59" s="213" t="s">
        <v>11</v>
      </c>
      <c r="I59" s="214" t="str">
        <f>DOLLAR(D59-(E59*G59),0)</f>
        <v>($45,250)</v>
      </c>
      <c r="J59" s="210">
        <f>E59</f>
        <v>12</v>
      </c>
      <c r="K59" s="211" t="s">
        <v>10</v>
      </c>
      <c r="L59" s="212" t="str">
        <f>DOLLAR(ROUNDUP(+INT(D59*($J$34)/E59),-1),0)</f>
        <v>$4,040</v>
      </c>
      <c r="M59" s="213" t="s">
        <v>11</v>
      </c>
      <c r="N59" s="215" t="str">
        <f>DOLLAR($D59-(J59*L59),0)</f>
        <v>($45,250)</v>
      </c>
      <c r="O59" s="210" t="str">
        <f>DOLLAR(ROUNDUP((I59+2*G59)*0.45,-2)-25,0)</f>
        <v>($16,825)</v>
      </c>
      <c r="P59" s="213" t="s">
        <v>12</v>
      </c>
      <c r="Q59" s="211" t="str">
        <f>DOLLAR(ROUNDUP((I59+2*G59)*0.35,-2)-75,0)</f>
        <v>($13,175)</v>
      </c>
      <c r="R59" s="213" t="s">
        <v>12</v>
      </c>
      <c r="S59" s="211" t="str">
        <f>DOLLAR(I59+2*G59-O59-Q59,0)</f>
        <v>($7,170)</v>
      </c>
      <c r="T59" s="213" t="s">
        <v>11</v>
      </c>
      <c r="U59" s="216" t="str">
        <f>G59</f>
        <v>$4,040</v>
      </c>
      <c r="V59" s="211" t="str">
        <f>F59</f>
        <v>x</v>
      </c>
      <c r="W59" s="215">
        <f>ABS(E59-2)</f>
        <v>10</v>
      </c>
      <c r="X59" s="209">
        <f>$D59-ROUNDDOWN($D59*X56,0)</f>
        <v>3069</v>
      </c>
      <c r="Y59" s="217">
        <f>D59-X59</f>
        <v>161</v>
      </c>
      <c r="Z59" s="209">
        <f>$D59-ROUNDDOWN($D59*Z56,0)</f>
        <v>3166</v>
      </c>
      <c r="AA59" s="261">
        <f>D59-Z59</f>
        <v>64</v>
      </c>
      <c r="AB59" s="135"/>
      <c r="AC59" s="130"/>
      <c r="AD59" s="122"/>
      <c r="AE59" s="122"/>
      <c r="AF59" s="122"/>
      <c r="AG59" s="117"/>
      <c r="AH59" s="325"/>
    </row>
    <row r="60" spans="1:34" ht="13.5" customHeight="1">
      <c r="A60" s="36" t="s">
        <v>43</v>
      </c>
      <c r="B60" s="37"/>
      <c r="C60" s="262" t="s">
        <v>74</v>
      </c>
      <c r="D60" s="263">
        <f>D34-$AC$34</f>
        <v>3580</v>
      </c>
      <c r="E60" s="264">
        <v>15</v>
      </c>
      <c r="F60" s="265" t="s">
        <v>10</v>
      </c>
      <c r="G60" s="266" t="str">
        <f>DOLLAR(ROUNDUP(+INT(D60*($E$34)/E60),-1),0)</f>
        <v>$3,580</v>
      </c>
      <c r="H60" s="267" t="s">
        <v>11</v>
      </c>
      <c r="I60" s="268" t="str">
        <f>DOLLAR(D60-(E60*G60),0)</f>
        <v>($50,120)</v>
      </c>
      <c r="J60" s="264">
        <f>E60</f>
        <v>15</v>
      </c>
      <c r="K60" s="265" t="s">
        <v>10</v>
      </c>
      <c r="L60" s="266" t="str">
        <f>DOLLAR(ROUNDUP(+INT(D60*($J$34)/E60),-1),0)</f>
        <v>$3,580</v>
      </c>
      <c r="M60" s="267" t="s">
        <v>11</v>
      </c>
      <c r="N60" s="269" t="str">
        <f>DOLLAR($D60-(J60*L60),0)</f>
        <v>($50,120)</v>
      </c>
      <c r="O60" s="264" t="str">
        <f>DOLLAR(ROUNDUP((I60+2*G60)*0.45,-2)-25,0)</f>
        <v>($19,425)</v>
      </c>
      <c r="P60" s="267" t="s">
        <v>12</v>
      </c>
      <c r="Q60" s="265" t="str">
        <f>DOLLAR(ROUNDUP((I60+2*G60)*0.35,-2)-75,0)</f>
        <v>($15,175)</v>
      </c>
      <c r="R60" s="267" t="s">
        <v>12</v>
      </c>
      <c r="S60" s="265" t="str">
        <f>DOLLAR(I60+2*G60-O60-Q60,0)</f>
        <v>($8,360)</v>
      </c>
      <c r="T60" s="267" t="s">
        <v>11</v>
      </c>
      <c r="U60" s="270" t="str">
        <f>G60</f>
        <v>$3,580</v>
      </c>
      <c r="V60" s="265" t="str">
        <f>F60</f>
        <v>x</v>
      </c>
      <c r="W60" s="269">
        <f>ABS(E60-2)</f>
        <v>13</v>
      </c>
      <c r="X60" s="221">
        <f>$D60-ROUNDDOWN($D60*X56,0)</f>
        <v>3401</v>
      </c>
      <c r="Y60" s="230">
        <f>D60-X60</f>
        <v>179</v>
      </c>
      <c r="Z60" s="221">
        <f>$D60-ROUNDDOWN($D60*Z56,0)</f>
        <v>3509</v>
      </c>
      <c r="AA60" s="271">
        <f>D60-Z60</f>
        <v>71</v>
      </c>
      <c r="AB60" s="141"/>
      <c r="AC60" s="130"/>
      <c r="AD60" s="127"/>
      <c r="AE60" s="142"/>
      <c r="AF60" s="142"/>
      <c r="AG60" s="117"/>
      <c r="AH60" s="325"/>
    </row>
    <row r="61" spans="1:34" ht="13.5" customHeight="1">
      <c r="A61" s="36" t="s">
        <v>48</v>
      </c>
      <c r="B61" s="37"/>
      <c r="C61" s="262" t="s">
        <v>75</v>
      </c>
      <c r="D61" s="263">
        <f>D35-$AC$34</f>
        <v>3780</v>
      </c>
      <c r="E61" s="264">
        <v>18</v>
      </c>
      <c r="F61" s="265" t="s">
        <v>10</v>
      </c>
      <c r="G61" s="266" t="str">
        <f>DOLLAR(ROUNDUP(+INT(D61*($E$34)/E61),-1),0)</f>
        <v>$3,150</v>
      </c>
      <c r="H61" s="267" t="s">
        <v>11</v>
      </c>
      <c r="I61" s="268" t="str">
        <f>DOLLAR(D61-(E61*G61),0)</f>
        <v>($52,920)</v>
      </c>
      <c r="J61" s="264">
        <f>E61</f>
        <v>18</v>
      </c>
      <c r="K61" s="265" t="s">
        <v>10</v>
      </c>
      <c r="L61" s="266" t="str">
        <f>DOLLAR(ROUNDUP(+INT(D61*($J$34)/E61),-1),0)</f>
        <v>$3,150</v>
      </c>
      <c r="M61" s="267" t="s">
        <v>11</v>
      </c>
      <c r="N61" s="269" t="str">
        <f>DOLLAR($D61-(J61*L61),0)</f>
        <v>($52,920)</v>
      </c>
      <c r="O61" s="264" t="str">
        <f>DOLLAR(ROUNDUP((I61+2*G61)*0.45,-2)-25,0)</f>
        <v>($21,025)</v>
      </c>
      <c r="P61" s="267" t="s">
        <v>12</v>
      </c>
      <c r="Q61" s="265" t="str">
        <f>DOLLAR(ROUNDUP((I61+2*G61)*0.35,-2)-75,0)</f>
        <v>($16,475)</v>
      </c>
      <c r="R61" s="267" t="s">
        <v>12</v>
      </c>
      <c r="S61" s="265" t="str">
        <f>DOLLAR(I61+2*G61-O61-Q61,0)</f>
        <v>($9,120)</v>
      </c>
      <c r="T61" s="267" t="s">
        <v>11</v>
      </c>
      <c r="U61" s="270" t="str">
        <f>G61</f>
        <v>$3,150</v>
      </c>
      <c r="V61" s="265" t="str">
        <f>F61</f>
        <v>x</v>
      </c>
      <c r="W61" s="269">
        <f>ABS(E61-2)</f>
        <v>16</v>
      </c>
      <c r="X61" s="221">
        <f>$D61-ROUNDDOWN($D61*X56,0)</f>
        <v>3591</v>
      </c>
      <c r="Y61" s="230">
        <f>D61-X61</f>
        <v>189</v>
      </c>
      <c r="Z61" s="221">
        <f>$D61-ROUNDDOWN($D61*Z56,0)</f>
        <v>3705</v>
      </c>
      <c r="AA61" s="271">
        <f>D61-Z61</f>
        <v>75</v>
      </c>
      <c r="AB61" s="141"/>
      <c r="AC61" s="130"/>
      <c r="AD61" s="127"/>
      <c r="AE61" s="142"/>
      <c r="AF61" s="142"/>
      <c r="AG61" s="117"/>
      <c r="AH61" s="325"/>
    </row>
    <row r="62" spans="1:34" ht="13.5" customHeight="1">
      <c r="A62" s="36" t="s">
        <v>44</v>
      </c>
      <c r="B62" s="37"/>
      <c r="C62" s="262" t="s">
        <v>76</v>
      </c>
      <c r="D62" s="263">
        <f>D36-$AC$34</f>
        <v>4080</v>
      </c>
      <c r="E62" s="264">
        <v>18</v>
      </c>
      <c r="F62" s="265" t="s">
        <v>10</v>
      </c>
      <c r="G62" s="266" t="str">
        <f>DOLLAR(ROUNDUP(+INT(D62*($E$34)/E62),-1),0)</f>
        <v>$3,400</v>
      </c>
      <c r="H62" s="267" t="s">
        <v>11</v>
      </c>
      <c r="I62" s="268" t="str">
        <f>DOLLAR(D62-(E62*G62),0)</f>
        <v>($57,120)</v>
      </c>
      <c r="J62" s="264">
        <f>E62</f>
        <v>18</v>
      </c>
      <c r="K62" s="265" t="s">
        <v>10</v>
      </c>
      <c r="L62" s="266" t="str">
        <f>DOLLAR(ROUNDUP(+INT(D62*($J$34)/E62),-1),0)</f>
        <v>$3,400</v>
      </c>
      <c r="M62" s="267" t="s">
        <v>11</v>
      </c>
      <c r="N62" s="269" t="str">
        <f>DOLLAR($D62-(J62*L62),0)</f>
        <v>($57,120)</v>
      </c>
      <c r="O62" s="264" t="str">
        <f>DOLLAR(ROUNDUP((I62+2*G62)*0.45,-2)-25,0)</f>
        <v>($22,725)</v>
      </c>
      <c r="P62" s="267" t="s">
        <v>12</v>
      </c>
      <c r="Q62" s="265" t="str">
        <f>DOLLAR(ROUNDUP((I62+2*G62)*0.35,-2)-75,0)</f>
        <v>($17,775)</v>
      </c>
      <c r="R62" s="267" t="s">
        <v>12</v>
      </c>
      <c r="S62" s="265" t="str">
        <f>DOLLAR(I62+2*G62-O62-Q62,0)</f>
        <v>($9,820)</v>
      </c>
      <c r="T62" s="267" t="s">
        <v>11</v>
      </c>
      <c r="U62" s="270" t="str">
        <f>G62</f>
        <v>$3,400</v>
      </c>
      <c r="V62" s="265" t="str">
        <f>F62</f>
        <v>x</v>
      </c>
      <c r="W62" s="269">
        <f>ABS(E62-2)</f>
        <v>16</v>
      </c>
      <c r="X62" s="221">
        <f>$D62-ROUNDDOWN($D62*X56,0)</f>
        <v>3876</v>
      </c>
      <c r="Y62" s="230">
        <f>D62-X62</f>
        <v>204</v>
      </c>
      <c r="Z62" s="221">
        <f>$D62-ROUNDDOWN($D62*Z56,0)</f>
        <v>3999</v>
      </c>
      <c r="AA62" s="271">
        <f>D62-Z62</f>
        <v>81</v>
      </c>
      <c r="AB62" s="141"/>
      <c r="AC62" s="130"/>
      <c r="AD62" s="127"/>
      <c r="AE62" s="142"/>
      <c r="AF62" s="142"/>
      <c r="AG62" s="117"/>
      <c r="AH62" s="325"/>
    </row>
    <row r="63" spans="1:34" ht="13.5" customHeight="1" thickBot="1">
      <c r="A63" s="36" t="s">
        <v>45</v>
      </c>
      <c r="B63" s="37"/>
      <c r="C63" s="272" t="s">
        <v>77</v>
      </c>
      <c r="D63" s="273">
        <f>D37-$AC$34</f>
        <v>4330</v>
      </c>
      <c r="E63" s="274">
        <v>24</v>
      </c>
      <c r="F63" s="255" t="s">
        <v>10</v>
      </c>
      <c r="G63" s="250" t="str">
        <f>DOLLAR(ROUNDUP(+INT(D63*($E$34)/E63),-1),0)</f>
        <v>$2,710</v>
      </c>
      <c r="H63" s="275" t="s">
        <v>11</v>
      </c>
      <c r="I63" s="276" t="str">
        <f>DOLLAR(D63-(E63*G63),0)</f>
        <v>($60,710)</v>
      </c>
      <c r="J63" s="274">
        <f>E63</f>
        <v>24</v>
      </c>
      <c r="K63" s="255" t="s">
        <v>10</v>
      </c>
      <c r="L63" s="250" t="str">
        <f>DOLLAR(ROUNDUP(+INT(D63*($J$34)/E63),-1),0)</f>
        <v>$2,710</v>
      </c>
      <c r="M63" s="275" t="s">
        <v>11</v>
      </c>
      <c r="N63" s="277" t="str">
        <f>DOLLAR($D63-(J63*L63),0)</f>
        <v>($60,710)</v>
      </c>
      <c r="O63" s="274" t="str">
        <f>DOLLAR(ROUNDUP((I63+2*G63)*0.45,-2)-25,0)</f>
        <v>($24,925)</v>
      </c>
      <c r="P63" s="275" t="s">
        <v>12</v>
      </c>
      <c r="Q63" s="255" t="str">
        <f>DOLLAR(ROUNDUP((I63+2*G63)*0.35,-2)-75,0)</f>
        <v>($19,475)</v>
      </c>
      <c r="R63" s="275" t="s">
        <v>12</v>
      </c>
      <c r="S63" s="255" t="str">
        <f>DOLLAR(I63+2*G63-O63-Q63,0)</f>
        <v>($10,890)</v>
      </c>
      <c r="T63" s="275" t="s">
        <v>11</v>
      </c>
      <c r="U63" s="278" t="str">
        <f>G63</f>
        <v>$2,710</v>
      </c>
      <c r="V63" s="255" t="str">
        <f>F63</f>
        <v>x</v>
      </c>
      <c r="W63" s="277">
        <f>ABS(E63-2)</f>
        <v>22</v>
      </c>
      <c r="X63" s="247">
        <f>$D63-ROUNDDOWN($D63*X56,0)</f>
        <v>4114</v>
      </c>
      <c r="Y63" s="257">
        <f>D63-X63</f>
        <v>216</v>
      </c>
      <c r="Z63" s="247">
        <f>$D63-ROUNDDOWN($D63*Z56,0)</f>
        <v>4244</v>
      </c>
      <c r="AA63" s="279">
        <f>D63-Z63</f>
        <v>86</v>
      </c>
      <c r="AB63" s="141"/>
      <c r="AC63" s="130"/>
      <c r="AD63" s="127"/>
      <c r="AE63" s="142"/>
      <c r="AF63" s="142"/>
      <c r="AG63" s="117"/>
      <c r="AH63" s="325"/>
    </row>
    <row r="64" spans="1:34" ht="14.25" thickBot="1">
      <c r="A64" s="36" t="s">
        <v>46</v>
      </c>
      <c r="B64" s="37"/>
      <c r="C64" s="62"/>
      <c r="D64" s="62"/>
      <c r="E64" s="63"/>
      <c r="F64" s="62"/>
      <c r="G64" s="64"/>
      <c r="H64" s="64"/>
      <c r="I64" s="65"/>
      <c r="J64" s="63"/>
      <c r="K64" s="62"/>
      <c r="L64" s="64"/>
      <c r="M64" s="64"/>
      <c r="N64" s="66"/>
      <c r="O64" s="67"/>
      <c r="P64" s="64"/>
      <c r="Q64" s="64"/>
      <c r="R64" s="64"/>
      <c r="S64" s="64"/>
      <c r="T64" s="64"/>
      <c r="U64" s="67"/>
      <c r="V64" s="68"/>
      <c r="W64" s="66"/>
      <c r="X64" s="69"/>
      <c r="Y64" s="70"/>
      <c r="Z64" s="71"/>
      <c r="AA64" s="72"/>
      <c r="AB64" s="141"/>
      <c r="AC64" s="130"/>
      <c r="AD64" s="127"/>
      <c r="AE64" s="142"/>
      <c r="AF64" s="142"/>
      <c r="AG64" s="117"/>
      <c r="AH64" s="325"/>
    </row>
    <row r="65" spans="1:34" ht="19.5" thickBot="1">
      <c r="A65" s="172"/>
      <c r="B65" s="37"/>
      <c r="C65" s="332" t="s">
        <v>215</v>
      </c>
      <c r="D65" s="5"/>
      <c r="E65" s="5"/>
      <c r="F65" s="5"/>
      <c r="G65" s="6"/>
      <c r="H65" s="6"/>
      <c r="I65" s="7"/>
      <c r="J65" s="8"/>
      <c r="K65" s="5"/>
      <c r="L65" s="6"/>
      <c r="M65" s="6"/>
      <c r="N65" s="9"/>
      <c r="O65" s="10"/>
      <c r="P65" s="11"/>
      <c r="Q65" s="12" t="s">
        <v>49</v>
      </c>
      <c r="R65" s="11"/>
      <c r="S65" s="394">
        <f>ROUNDDOWN(D72/AC31,1)-0.05</f>
        <v>5.45</v>
      </c>
      <c r="T65" s="394"/>
      <c r="U65" s="394"/>
      <c r="V65" s="6"/>
      <c r="W65" s="6"/>
      <c r="X65" s="13">
        <f>X56</f>
        <v>0.05</v>
      </c>
      <c r="Y65" s="13"/>
      <c r="Z65" s="13">
        <f>Z56</f>
        <v>0.02</v>
      </c>
      <c r="AA65" s="14"/>
      <c r="AB65" s="143"/>
      <c r="AC65" s="116" t="s">
        <v>135</v>
      </c>
      <c r="AD65" s="117"/>
      <c r="AE65" s="117"/>
      <c r="AF65" s="117"/>
      <c r="AG65" s="117"/>
      <c r="AH65" s="325"/>
    </row>
    <row r="66" spans="1:34" ht="15.75">
      <c r="A66" s="171"/>
      <c r="B66" s="73"/>
      <c r="C66" s="16" t="s">
        <v>97</v>
      </c>
      <c r="D66" s="17" t="s">
        <v>0</v>
      </c>
      <c r="E66" s="18">
        <v>0.7</v>
      </c>
      <c r="F66" s="19"/>
      <c r="G66" s="375" t="s">
        <v>50</v>
      </c>
      <c r="H66" s="375"/>
      <c r="I66" s="376"/>
      <c r="J66" s="18">
        <v>0.5</v>
      </c>
      <c r="K66" s="20"/>
      <c r="L66" s="377" t="s">
        <v>51</v>
      </c>
      <c r="M66" s="377"/>
      <c r="N66" s="378"/>
      <c r="O66" s="379" t="s">
        <v>52</v>
      </c>
      <c r="P66" s="380"/>
      <c r="Q66" s="380"/>
      <c r="R66" s="380"/>
      <c r="S66" s="380"/>
      <c r="T66" s="380"/>
      <c r="U66" s="380"/>
      <c r="V66" s="380"/>
      <c r="W66" s="381"/>
      <c r="X66" s="382" t="s">
        <v>53</v>
      </c>
      <c r="Y66" s="383"/>
      <c r="Z66" s="383"/>
      <c r="AA66" s="384"/>
      <c r="AB66" s="133"/>
      <c r="AC66" s="175">
        <v>400</v>
      </c>
      <c r="AD66" s="176" t="s">
        <v>133</v>
      </c>
      <c r="AE66" s="120"/>
      <c r="AF66" s="120"/>
      <c r="AG66" s="120"/>
      <c r="AH66" s="325" t="s">
        <v>168</v>
      </c>
    </row>
    <row r="67" spans="1:34" ht="22.5">
      <c r="A67" s="45"/>
      <c r="B67" s="45"/>
      <c r="C67" s="23" t="s">
        <v>1</v>
      </c>
      <c r="D67" s="24" t="s">
        <v>2</v>
      </c>
      <c r="E67" s="25" t="s">
        <v>54</v>
      </c>
      <c r="F67" s="26"/>
      <c r="G67" s="26"/>
      <c r="H67" s="26"/>
      <c r="I67" s="27" t="s">
        <v>3</v>
      </c>
      <c r="J67" s="25" t="s">
        <v>55</v>
      </c>
      <c r="K67" s="26"/>
      <c r="L67" s="26"/>
      <c r="M67" s="26"/>
      <c r="N67" s="28" t="s">
        <v>3</v>
      </c>
      <c r="O67" s="29" t="s">
        <v>4</v>
      </c>
      <c r="P67" s="30"/>
      <c r="Q67" s="30" t="s">
        <v>5</v>
      </c>
      <c r="R67" s="30"/>
      <c r="S67" s="30" t="s">
        <v>6</v>
      </c>
      <c r="T67" s="30"/>
      <c r="U67" s="30" t="s">
        <v>7</v>
      </c>
      <c r="V67" s="30"/>
      <c r="W67" s="31" t="s">
        <v>8</v>
      </c>
      <c r="X67" s="32" t="s">
        <v>62</v>
      </c>
      <c r="Y67" s="33" t="s">
        <v>57</v>
      </c>
      <c r="Z67" s="34" t="s">
        <v>58</v>
      </c>
      <c r="AA67" s="35" t="s">
        <v>57</v>
      </c>
      <c r="AB67" s="134"/>
      <c r="AC67" s="121" t="s">
        <v>143</v>
      </c>
      <c r="AD67" s="122"/>
      <c r="AE67" s="122"/>
      <c r="AF67" s="122"/>
      <c r="AG67" s="117"/>
      <c r="AH67" s="325"/>
    </row>
    <row r="68" spans="1:34" ht="13.5" customHeight="1">
      <c r="A68" s="45"/>
      <c r="B68" s="45"/>
      <c r="C68" s="220" t="s">
        <v>17</v>
      </c>
      <c r="D68" s="221">
        <f>D72-2*$AC$46</f>
        <v>4680</v>
      </c>
      <c r="E68" s="222">
        <v>12</v>
      </c>
      <c r="F68" s="223" t="s">
        <v>10</v>
      </c>
      <c r="G68" s="224" t="str">
        <f aca="true" t="shared" si="20" ref="G68:G75">DOLLAR(ROUNDUP(+INT(D68*($E$43)/E68),-1),0)</f>
        <v>$280</v>
      </c>
      <c r="H68" s="225" t="s">
        <v>11</v>
      </c>
      <c r="I68" s="226" t="str">
        <f aca="true" t="shared" si="21" ref="I68:I75">DOLLAR(D68-(E68*G68),0)</f>
        <v>$1,320</v>
      </c>
      <c r="J68" s="227">
        <f aca="true" t="shared" si="22" ref="J68:J75">E68</f>
        <v>12</v>
      </c>
      <c r="K68" s="223" t="s">
        <v>10</v>
      </c>
      <c r="L68" s="224" t="str">
        <f aca="true" t="shared" si="23" ref="L68:L75">DOLLAR(ROUNDUP(+INT(D68*($J$43)/E68),-1),0)</f>
        <v>$200</v>
      </c>
      <c r="M68" s="225" t="s">
        <v>11</v>
      </c>
      <c r="N68" s="228" t="str">
        <f aca="true" t="shared" si="24" ref="N68:N75">DOLLAR($D68-(J68*L68),0)</f>
        <v>$2,280</v>
      </c>
      <c r="O68" s="222" t="str">
        <f aca="true" t="shared" si="25" ref="O68:O75">DOLLAR(ROUNDUP((I68+2*G68)*0.45,-2)-25,0)</f>
        <v>$875</v>
      </c>
      <c r="P68" s="225" t="s">
        <v>12</v>
      </c>
      <c r="Q68" s="223" t="str">
        <f>DOLLAR(ROUNDUP((I68+2*G68)*0.35,-2)-75,0)</f>
        <v>$625</v>
      </c>
      <c r="R68" s="225" t="s">
        <v>12</v>
      </c>
      <c r="S68" s="223" t="str">
        <f aca="true" t="shared" si="26" ref="S68:S75">DOLLAR(I68+2*G68-O68-Q68,0)</f>
        <v>$380</v>
      </c>
      <c r="T68" s="225" t="s">
        <v>11</v>
      </c>
      <c r="U68" s="227" t="str">
        <f aca="true" t="shared" si="27" ref="U68:U75">G68</f>
        <v>$280</v>
      </c>
      <c r="V68" s="223" t="str">
        <f aca="true" t="shared" si="28" ref="V68:V75">F68</f>
        <v>x</v>
      </c>
      <c r="W68" s="229">
        <f aca="true" t="shared" si="29" ref="W68:W75">ABS(E68-2)</f>
        <v>10</v>
      </c>
      <c r="X68" s="221">
        <f aca="true" t="shared" si="30" ref="X68:X75">$D68-ROUNDDOWN($D68*$X$65,0)</f>
        <v>4446</v>
      </c>
      <c r="Y68" s="230">
        <f aca="true" t="shared" si="31" ref="Y68:Y75">D68-X68</f>
        <v>234</v>
      </c>
      <c r="Z68" s="231">
        <f>$D68-ROUNDDOWN($D68*Z65,0)</f>
        <v>4587</v>
      </c>
      <c r="AA68" s="232">
        <f aca="true" t="shared" si="32" ref="AA68:AA75">D68-Z68</f>
        <v>93</v>
      </c>
      <c r="AB68" s="125"/>
      <c r="AC68" s="174">
        <f>ROUND(D72*0.12,-2)-50</f>
        <v>550</v>
      </c>
      <c r="AD68" s="156" t="s">
        <v>134</v>
      </c>
      <c r="AE68" s="122"/>
      <c r="AF68" s="122"/>
      <c r="AG68" s="117"/>
      <c r="AH68" s="325" t="s">
        <v>200</v>
      </c>
    </row>
    <row r="69" spans="1:34" ht="13.5" customHeight="1">
      <c r="A69" s="45"/>
      <c r="B69" s="45"/>
      <c r="C69" s="220" t="s">
        <v>78</v>
      </c>
      <c r="D69" s="221">
        <f>D72-$AC$46-ROUNDDOWN(0.5*$AC$46,-2)</f>
        <v>4880</v>
      </c>
      <c r="E69" s="222">
        <v>15</v>
      </c>
      <c r="F69" s="223" t="s">
        <v>10</v>
      </c>
      <c r="G69" s="224" t="str">
        <f t="shared" si="20"/>
        <v>$230</v>
      </c>
      <c r="H69" s="225" t="s">
        <v>11</v>
      </c>
      <c r="I69" s="226" t="str">
        <f t="shared" si="21"/>
        <v>$1,430</v>
      </c>
      <c r="J69" s="227">
        <f t="shared" si="22"/>
        <v>15</v>
      </c>
      <c r="K69" s="223" t="s">
        <v>10</v>
      </c>
      <c r="L69" s="224" t="str">
        <f t="shared" si="23"/>
        <v>$170</v>
      </c>
      <c r="M69" s="225" t="s">
        <v>11</v>
      </c>
      <c r="N69" s="228" t="str">
        <f t="shared" si="24"/>
        <v>$2,330</v>
      </c>
      <c r="O69" s="222" t="str">
        <f t="shared" si="25"/>
        <v>$875</v>
      </c>
      <c r="P69" s="225" t="s">
        <v>12</v>
      </c>
      <c r="Q69" s="223" t="str">
        <f>DOLLAR(ROUNDUP((I69+2*G69)*0.35,-2)-75,0)</f>
        <v>$625</v>
      </c>
      <c r="R69" s="225" t="s">
        <v>12</v>
      </c>
      <c r="S69" s="223" t="str">
        <f t="shared" si="26"/>
        <v>$390</v>
      </c>
      <c r="T69" s="225" t="s">
        <v>11</v>
      </c>
      <c r="U69" s="227" t="str">
        <f t="shared" si="27"/>
        <v>$230</v>
      </c>
      <c r="V69" s="223" t="str">
        <f t="shared" si="28"/>
        <v>x</v>
      </c>
      <c r="W69" s="229">
        <f t="shared" si="29"/>
        <v>13</v>
      </c>
      <c r="X69" s="221">
        <f t="shared" si="30"/>
        <v>4636</v>
      </c>
      <c r="Y69" s="230">
        <f t="shared" si="31"/>
        <v>244</v>
      </c>
      <c r="Z69" s="231">
        <f>$D69-ROUNDDOWN($D69*Z65,0)</f>
        <v>4783</v>
      </c>
      <c r="AA69" s="232">
        <f t="shared" si="32"/>
        <v>97</v>
      </c>
      <c r="AB69" s="125"/>
      <c r="AC69" s="126" t="s">
        <v>121</v>
      </c>
      <c r="AD69" s="127"/>
      <c r="AE69" s="129"/>
      <c r="AF69" s="129"/>
      <c r="AG69" s="117"/>
      <c r="AH69" s="325"/>
    </row>
    <row r="70" spans="1:34" ht="13.5" customHeight="1">
      <c r="A70" s="45"/>
      <c r="B70" s="45"/>
      <c r="C70" s="220" t="s">
        <v>18</v>
      </c>
      <c r="D70" s="221">
        <f>D72-$AC$46</f>
        <v>4980</v>
      </c>
      <c r="E70" s="222">
        <v>18</v>
      </c>
      <c r="F70" s="223" t="s">
        <v>10</v>
      </c>
      <c r="G70" s="224" t="str">
        <f t="shared" si="20"/>
        <v>$200</v>
      </c>
      <c r="H70" s="225" t="s">
        <v>11</v>
      </c>
      <c r="I70" s="226" t="str">
        <f t="shared" si="21"/>
        <v>$1,380</v>
      </c>
      <c r="J70" s="227">
        <f t="shared" si="22"/>
        <v>18</v>
      </c>
      <c r="K70" s="223" t="s">
        <v>10</v>
      </c>
      <c r="L70" s="224" t="str">
        <f t="shared" si="23"/>
        <v>$140</v>
      </c>
      <c r="M70" s="225" t="s">
        <v>11</v>
      </c>
      <c r="N70" s="228" t="str">
        <f t="shared" si="24"/>
        <v>$2,460</v>
      </c>
      <c r="O70" s="222" t="str">
        <f t="shared" si="25"/>
        <v>$875</v>
      </c>
      <c r="P70" s="225" t="s">
        <v>12</v>
      </c>
      <c r="Q70" s="223" t="str">
        <f>DOLLAR(ROUNDUP((I70+2*G70)*0.35,-2)-75,0)</f>
        <v>$625</v>
      </c>
      <c r="R70" s="225" t="s">
        <v>12</v>
      </c>
      <c r="S70" s="223" t="str">
        <f t="shared" si="26"/>
        <v>$280</v>
      </c>
      <c r="T70" s="225" t="s">
        <v>11</v>
      </c>
      <c r="U70" s="227" t="str">
        <f t="shared" si="27"/>
        <v>$200</v>
      </c>
      <c r="V70" s="223" t="str">
        <f t="shared" si="28"/>
        <v>x</v>
      </c>
      <c r="W70" s="229">
        <f t="shared" si="29"/>
        <v>16</v>
      </c>
      <c r="X70" s="221">
        <f t="shared" si="30"/>
        <v>4731</v>
      </c>
      <c r="Y70" s="230">
        <f t="shared" si="31"/>
        <v>249</v>
      </c>
      <c r="Z70" s="231">
        <f>$D70-ROUNDDOWN($D70*Z65,0)</f>
        <v>4881</v>
      </c>
      <c r="AA70" s="232">
        <f t="shared" si="32"/>
        <v>99</v>
      </c>
      <c r="AB70" s="125"/>
      <c r="AC70" s="130"/>
      <c r="AD70" s="127"/>
      <c r="AE70" s="129"/>
      <c r="AF70" s="129"/>
      <c r="AG70" s="117"/>
      <c r="AH70" s="325"/>
    </row>
    <row r="71" spans="1:34" ht="13.5" customHeight="1">
      <c r="A71" s="45"/>
      <c r="B71" s="45"/>
      <c r="C71" s="220" t="s">
        <v>79</v>
      </c>
      <c r="D71" s="221">
        <f>D72-ROUNDUP(0.5*$AC$46,-2)+50</f>
        <v>5130</v>
      </c>
      <c r="E71" s="222">
        <v>21</v>
      </c>
      <c r="F71" s="223" t="s">
        <v>10</v>
      </c>
      <c r="G71" s="224" t="str">
        <f t="shared" si="20"/>
        <v>$180</v>
      </c>
      <c r="H71" s="225" t="s">
        <v>11</v>
      </c>
      <c r="I71" s="226" t="str">
        <f>DOLLAR(D71-(E71*G71),0)</f>
        <v>$1,350</v>
      </c>
      <c r="J71" s="227">
        <f>E71</f>
        <v>21</v>
      </c>
      <c r="K71" s="223" t="s">
        <v>10</v>
      </c>
      <c r="L71" s="224" t="str">
        <f t="shared" si="23"/>
        <v>$130</v>
      </c>
      <c r="M71" s="225" t="s">
        <v>11</v>
      </c>
      <c r="N71" s="228" t="str">
        <f>DOLLAR($D71-(J71*L71),0)</f>
        <v>$2,400</v>
      </c>
      <c r="O71" s="222" t="str">
        <f>DOLLAR(ROUNDUP((I71+2*G71)*0.45,-2)-25,0)</f>
        <v>$775</v>
      </c>
      <c r="P71" s="225" t="s">
        <v>12</v>
      </c>
      <c r="Q71" s="223" t="str">
        <f>DOLLAR(ROUNDUP((I71+2*G71)*0.35,-2)-75,0)</f>
        <v>$525</v>
      </c>
      <c r="R71" s="225" t="s">
        <v>12</v>
      </c>
      <c r="S71" s="223" t="str">
        <f>DOLLAR(I71+2*G71-O71-Q71,0)</f>
        <v>$410</v>
      </c>
      <c r="T71" s="225" t="s">
        <v>11</v>
      </c>
      <c r="U71" s="227" t="str">
        <f>G71</f>
        <v>$180</v>
      </c>
      <c r="V71" s="223" t="str">
        <f>F71</f>
        <v>x</v>
      </c>
      <c r="W71" s="229">
        <f>ABS(E71-2)</f>
        <v>19</v>
      </c>
      <c r="X71" s="221">
        <f t="shared" si="30"/>
        <v>4874</v>
      </c>
      <c r="Y71" s="230">
        <f t="shared" si="31"/>
        <v>256</v>
      </c>
      <c r="Z71" s="231">
        <f>$D71-ROUNDDOWN($D71*Z65,0)</f>
        <v>5028</v>
      </c>
      <c r="AA71" s="232">
        <f t="shared" si="32"/>
        <v>102</v>
      </c>
      <c r="AB71" s="125"/>
      <c r="AC71" s="130"/>
      <c r="AD71" s="127"/>
      <c r="AE71" s="129"/>
      <c r="AF71" s="129"/>
      <c r="AG71" s="117"/>
      <c r="AH71" s="325"/>
    </row>
    <row r="72" spans="1:34" ht="13.5" customHeight="1">
      <c r="A72" s="45"/>
      <c r="B72" s="45"/>
      <c r="C72" s="233" t="s">
        <v>19</v>
      </c>
      <c r="D72" s="234">
        <f>D37+AC66</f>
        <v>5280</v>
      </c>
      <c r="E72" s="235">
        <v>24</v>
      </c>
      <c r="F72" s="236" t="s">
        <v>10</v>
      </c>
      <c r="G72" s="237" t="str">
        <f t="shared" si="20"/>
        <v>$160</v>
      </c>
      <c r="H72" s="238" t="s">
        <v>11</v>
      </c>
      <c r="I72" s="239" t="str">
        <f t="shared" si="21"/>
        <v>$1,440</v>
      </c>
      <c r="J72" s="240">
        <f t="shared" si="22"/>
        <v>24</v>
      </c>
      <c r="K72" s="236" t="s">
        <v>10</v>
      </c>
      <c r="L72" s="237" t="str">
        <f t="shared" si="23"/>
        <v>$110</v>
      </c>
      <c r="M72" s="238" t="s">
        <v>11</v>
      </c>
      <c r="N72" s="241" t="str">
        <f t="shared" si="24"/>
        <v>$2,640</v>
      </c>
      <c r="O72" s="235" t="str">
        <f t="shared" si="25"/>
        <v>$775</v>
      </c>
      <c r="P72" s="238" t="s">
        <v>12</v>
      </c>
      <c r="Q72" s="236" t="str">
        <f>DOLLAR(ROUNDUP((I72+2*G72)*0.35,-2)-75,0)</f>
        <v>$625</v>
      </c>
      <c r="R72" s="238" t="s">
        <v>12</v>
      </c>
      <c r="S72" s="236" t="str">
        <f t="shared" si="26"/>
        <v>$360</v>
      </c>
      <c r="T72" s="238" t="s">
        <v>11</v>
      </c>
      <c r="U72" s="240" t="str">
        <f t="shared" si="27"/>
        <v>$160</v>
      </c>
      <c r="V72" s="236" t="str">
        <f t="shared" si="28"/>
        <v>x</v>
      </c>
      <c r="W72" s="242">
        <f t="shared" si="29"/>
        <v>22</v>
      </c>
      <c r="X72" s="234">
        <f t="shared" si="30"/>
        <v>5016</v>
      </c>
      <c r="Y72" s="243">
        <f t="shared" si="31"/>
        <v>264</v>
      </c>
      <c r="Z72" s="244">
        <f>$D72-ROUNDDOWN($D72*Z65,0)</f>
        <v>5175</v>
      </c>
      <c r="AA72" s="245">
        <f t="shared" si="32"/>
        <v>105</v>
      </c>
      <c r="AB72" s="125"/>
      <c r="AC72" s="130"/>
      <c r="AD72" s="127"/>
      <c r="AE72" s="129"/>
      <c r="AF72" s="129"/>
      <c r="AG72" s="117"/>
      <c r="AH72" s="325"/>
    </row>
    <row r="73" spans="1:34" ht="13.5" customHeight="1">
      <c r="A73" s="45"/>
      <c r="B73" s="45"/>
      <c r="C73" s="220" t="s">
        <v>80</v>
      </c>
      <c r="D73" s="221">
        <f>D72+ROUNDDOWN(0.5*$AC$46,-2)+50</f>
        <v>5430</v>
      </c>
      <c r="E73" s="222">
        <v>27</v>
      </c>
      <c r="F73" s="223" t="s">
        <v>10</v>
      </c>
      <c r="G73" s="224" t="str">
        <f t="shared" si="20"/>
        <v>$140</v>
      </c>
      <c r="H73" s="225" t="s">
        <v>11</v>
      </c>
      <c r="I73" s="226" t="str">
        <f>DOLLAR(D73-(E73*G73),0)</f>
        <v>$1,650</v>
      </c>
      <c r="J73" s="227">
        <f>E73</f>
        <v>27</v>
      </c>
      <c r="K73" s="223" t="s">
        <v>10</v>
      </c>
      <c r="L73" s="224" t="str">
        <f t="shared" si="23"/>
        <v>$100</v>
      </c>
      <c r="M73" s="225" t="s">
        <v>11</v>
      </c>
      <c r="N73" s="228" t="str">
        <f>DOLLAR($D73-(J73*L73),0)</f>
        <v>$2,730</v>
      </c>
      <c r="O73" s="222" t="str">
        <f>DOLLAR(ROUNDUP((I73+2*G73)*0.45,-2)-25,0)</f>
        <v>$875</v>
      </c>
      <c r="P73" s="225" t="s">
        <v>12</v>
      </c>
      <c r="Q73" s="223" t="str">
        <f>DOLLAR(ROUNDUP((I73+2*G73)*0.35,-2)-100,0)</f>
        <v>$600</v>
      </c>
      <c r="R73" s="225" t="s">
        <v>12</v>
      </c>
      <c r="S73" s="223" t="str">
        <f>DOLLAR(I73+2*G73-O73-Q73,0)</f>
        <v>$455</v>
      </c>
      <c r="T73" s="225" t="s">
        <v>11</v>
      </c>
      <c r="U73" s="227" t="str">
        <f>G73</f>
        <v>$140</v>
      </c>
      <c r="V73" s="223" t="str">
        <f>F73</f>
        <v>x</v>
      </c>
      <c r="W73" s="229">
        <f>ABS(E73-2)</f>
        <v>25</v>
      </c>
      <c r="X73" s="221">
        <f t="shared" si="30"/>
        <v>5159</v>
      </c>
      <c r="Y73" s="230">
        <f t="shared" si="31"/>
        <v>271</v>
      </c>
      <c r="Z73" s="231">
        <f>$D73-ROUNDDOWN($D73*Z65,0)</f>
        <v>5322</v>
      </c>
      <c r="AA73" s="232">
        <f t="shared" si="32"/>
        <v>108</v>
      </c>
      <c r="AB73" s="125"/>
      <c r="AC73" s="130"/>
      <c r="AD73" s="127"/>
      <c r="AE73" s="129"/>
      <c r="AF73" s="129"/>
      <c r="AG73" s="117"/>
      <c r="AH73" s="325"/>
    </row>
    <row r="74" spans="3:34" ht="13.5" customHeight="1" thickBot="1">
      <c r="C74" s="220" t="s">
        <v>20</v>
      </c>
      <c r="D74" s="221">
        <f>D72+$AC$46</f>
        <v>5580</v>
      </c>
      <c r="E74" s="222">
        <v>30</v>
      </c>
      <c r="F74" s="223" t="s">
        <v>10</v>
      </c>
      <c r="G74" s="224" t="str">
        <f t="shared" si="20"/>
        <v>$130</v>
      </c>
      <c r="H74" s="225" t="s">
        <v>11</v>
      </c>
      <c r="I74" s="226" t="str">
        <f t="shared" si="21"/>
        <v>$1,680</v>
      </c>
      <c r="J74" s="227">
        <f t="shared" si="22"/>
        <v>30</v>
      </c>
      <c r="K74" s="223" t="s">
        <v>10</v>
      </c>
      <c r="L74" s="224" t="str">
        <f t="shared" si="23"/>
        <v>$100</v>
      </c>
      <c r="M74" s="225" t="s">
        <v>11</v>
      </c>
      <c r="N74" s="228" t="str">
        <f t="shared" si="24"/>
        <v>$2,580</v>
      </c>
      <c r="O74" s="222" t="str">
        <f t="shared" si="25"/>
        <v>$875</v>
      </c>
      <c r="P74" s="225" t="s">
        <v>12</v>
      </c>
      <c r="Q74" s="223" t="str">
        <f>DOLLAR(ROUNDUP((I74+2*G74)*0.35,-2)-75,0)</f>
        <v>$625</v>
      </c>
      <c r="R74" s="225" t="s">
        <v>12</v>
      </c>
      <c r="S74" s="223" t="str">
        <f t="shared" si="26"/>
        <v>$440</v>
      </c>
      <c r="T74" s="225" t="s">
        <v>11</v>
      </c>
      <c r="U74" s="227" t="str">
        <f t="shared" si="27"/>
        <v>$130</v>
      </c>
      <c r="V74" s="223" t="str">
        <f t="shared" si="28"/>
        <v>x</v>
      </c>
      <c r="W74" s="229">
        <f t="shared" si="29"/>
        <v>28</v>
      </c>
      <c r="X74" s="221">
        <f t="shared" si="30"/>
        <v>5301</v>
      </c>
      <c r="Y74" s="230">
        <f t="shared" si="31"/>
        <v>279</v>
      </c>
      <c r="Z74" s="231">
        <f>$D74-ROUNDDOWN($D74*Z65,0)</f>
        <v>5469</v>
      </c>
      <c r="AA74" s="232">
        <f t="shared" si="32"/>
        <v>111</v>
      </c>
      <c r="AB74" s="125"/>
      <c r="AC74" s="130"/>
      <c r="AD74" s="127"/>
      <c r="AE74" s="129"/>
      <c r="AF74" s="129"/>
      <c r="AG74" s="117"/>
      <c r="AH74" s="325"/>
    </row>
    <row r="75" spans="3:34" ht="13.5" customHeight="1" thickBot="1">
      <c r="C75" s="246" t="s">
        <v>21</v>
      </c>
      <c r="D75" s="247">
        <f>D72+2*$AC$46</f>
        <v>5880</v>
      </c>
      <c r="E75" s="248">
        <v>36</v>
      </c>
      <c r="F75" s="249" t="s">
        <v>10</v>
      </c>
      <c r="G75" s="250" t="str">
        <f t="shared" si="20"/>
        <v>$120</v>
      </c>
      <c r="H75" s="251" t="s">
        <v>11</v>
      </c>
      <c r="I75" s="252" t="str">
        <f t="shared" si="21"/>
        <v>$1,560</v>
      </c>
      <c r="J75" s="253">
        <f t="shared" si="22"/>
        <v>36</v>
      </c>
      <c r="K75" s="249" t="s">
        <v>10</v>
      </c>
      <c r="L75" s="250" t="str">
        <f t="shared" si="23"/>
        <v>$90</v>
      </c>
      <c r="M75" s="251" t="s">
        <v>11</v>
      </c>
      <c r="N75" s="254" t="str">
        <f t="shared" si="24"/>
        <v>$2,640</v>
      </c>
      <c r="O75" s="248" t="str">
        <f t="shared" si="25"/>
        <v>$875</v>
      </c>
      <c r="P75" s="251" t="s">
        <v>12</v>
      </c>
      <c r="Q75" s="255" t="str">
        <f>DOLLAR(ROUNDUP((I75+2*G75)*0.35,-2)-100,0)</f>
        <v>$600</v>
      </c>
      <c r="R75" s="251" t="s">
        <v>12</v>
      </c>
      <c r="S75" s="249" t="str">
        <f t="shared" si="26"/>
        <v>$325</v>
      </c>
      <c r="T75" s="251" t="s">
        <v>11</v>
      </c>
      <c r="U75" s="253" t="str">
        <f t="shared" si="27"/>
        <v>$120</v>
      </c>
      <c r="V75" s="249" t="str">
        <f t="shared" si="28"/>
        <v>x</v>
      </c>
      <c r="W75" s="256">
        <f t="shared" si="29"/>
        <v>34</v>
      </c>
      <c r="X75" s="247">
        <f t="shared" si="30"/>
        <v>5586</v>
      </c>
      <c r="Y75" s="257">
        <f t="shared" si="31"/>
        <v>294</v>
      </c>
      <c r="Z75" s="258">
        <f>$D75-ROUNDDOWN($D75*Z65,0)</f>
        <v>5763</v>
      </c>
      <c r="AA75" s="259">
        <f t="shared" si="32"/>
        <v>117</v>
      </c>
      <c r="AB75" s="125"/>
      <c r="AC75" s="409" t="s">
        <v>123</v>
      </c>
      <c r="AD75" s="410"/>
      <c r="AE75" s="411"/>
      <c r="AF75" s="129"/>
      <c r="AG75" s="117"/>
      <c r="AH75" s="325"/>
    </row>
    <row r="76" spans="3:34" ht="13.5" thickBot="1">
      <c r="C76" s="46"/>
      <c r="D76" s="74"/>
      <c r="E76" s="75"/>
      <c r="F76" s="76"/>
      <c r="G76" s="77"/>
      <c r="H76" s="78"/>
      <c r="I76" s="51"/>
      <c r="J76" s="75"/>
      <c r="K76" s="76"/>
      <c r="L76" s="77"/>
      <c r="M76" s="78"/>
      <c r="N76" s="79"/>
      <c r="O76" s="75"/>
      <c r="P76" s="78"/>
      <c r="Q76" s="76"/>
      <c r="R76" s="78"/>
      <c r="S76" s="76"/>
      <c r="T76" s="78"/>
      <c r="U76" s="75"/>
      <c r="V76" s="76"/>
      <c r="W76" s="79"/>
      <c r="X76" s="38"/>
      <c r="Y76" s="38"/>
      <c r="Z76" s="38"/>
      <c r="AA76" s="56"/>
      <c r="AB76" s="125"/>
      <c r="AC76" s="412" t="s">
        <v>118</v>
      </c>
      <c r="AD76" s="413"/>
      <c r="AE76" s="414"/>
      <c r="AF76" s="129"/>
      <c r="AG76" s="117"/>
      <c r="AH76" s="325"/>
    </row>
    <row r="77" spans="1:34" ht="19.5" thickBot="1">
      <c r="A77" s="332" t="s">
        <v>23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3"/>
      <c r="AB77" s="125"/>
      <c r="AC77" s="415" t="s">
        <v>124</v>
      </c>
      <c r="AD77" s="416"/>
      <c r="AE77" s="145" t="s">
        <v>144</v>
      </c>
      <c r="AF77" s="129"/>
      <c r="AG77" s="117"/>
      <c r="AH77" s="325"/>
    </row>
    <row r="78" spans="1:34" ht="13.5" customHeight="1" thickBot="1">
      <c r="A78" s="417" t="s">
        <v>24</v>
      </c>
      <c r="B78" s="418"/>
      <c r="C78" s="418"/>
      <c r="D78" s="419"/>
      <c r="E78" s="420">
        <f>AC78</f>
        <v>2230</v>
      </c>
      <c r="F78" s="421"/>
      <c r="G78" s="421"/>
      <c r="H78" s="94"/>
      <c r="I78" s="95" t="s">
        <v>81</v>
      </c>
      <c r="J78" s="422">
        <f>E78-O78*S78</f>
        <v>1060</v>
      </c>
      <c r="K78" s="422"/>
      <c r="L78" s="422"/>
      <c r="M78" s="423" t="s">
        <v>82</v>
      </c>
      <c r="N78" s="423"/>
      <c r="O78" s="424" t="str">
        <f>DOLLAR(ROUNDUP(+INT(E78*(0.5)/S78),-1),0)</f>
        <v>$130</v>
      </c>
      <c r="P78" s="424"/>
      <c r="Q78" s="425" t="s">
        <v>83</v>
      </c>
      <c r="R78" s="425"/>
      <c r="S78" s="96">
        <f>AE78</f>
        <v>9</v>
      </c>
      <c r="T78" s="422" t="s">
        <v>84</v>
      </c>
      <c r="U78" s="422"/>
      <c r="V78" s="94"/>
      <c r="W78" s="423" t="s">
        <v>85</v>
      </c>
      <c r="X78" s="423"/>
      <c r="Y78" s="94">
        <v>0</v>
      </c>
      <c r="Z78" s="94"/>
      <c r="AA78" s="97"/>
      <c r="AB78" s="143"/>
      <c r="AC78" s="426">
        <v>2230</v>
      </c>
      <c r="AD78" s="427"/>
      <c r="AE78" s="154">
        <v>9</v>
      </c>
      <c r="AF78" s="117"/>
      <c r="AG78" s="117"/>
      <c r="AH78" s="325" t="s">
        <v>169</v>
      </c>
    </row>
    <row r="79" spans="1:34" ht="13.5" customHeight="1">
      <c r="A79" s="428" t="s">
        <v>86</v>
      </c>
      <c r="B79" s="429"/>
      <c r="C79" s="429"/>
      <c r="D79" s="430"/>
      <c r="E79" s="431">
        <f>ROUND(0.22*$D$37,-1)</f>
        <v>1070</v>
      </c>
      <c r="F79" s="432"/>
      <c r="G79" s="432"/>
      <c r="H79" s="98" t="s">
        <v>11</v>
      </c>
      <c r="I79" s="206">
        <f>ROUND(0.02*$D$37,-1)</f>
        <v>100</v>
      </c>
      <c r="J79" s="433" t="s">
        <v>87</v>
      </c>
      <c r="K79" s="433"/>
      <c r="L79" s="433"/>
      <c r="M79" s="98" t="s">
        <v>11</v>
      </c>
      <c r="N79" s="207">
        <f>ROUND(15*$S$30,-1)</f>
        <v>80</v>
      </c>
      <c r="O79" s="433" t="s">
        <v>88</v>
      </c>
      <c r="P79" s="433"/>
      <c r="Q79" s="433"/>
      <c r="R79" s="433"/>
      <c r="S79" s="433"/>
      <c r="T79" s="98" t="s">
        <v>11</v>
      </c>
      <c r="U79" s="100" t="s">
        <v>89</v>
      </c>
      <c r="V79" s="100"/>
      <c r="W79" s="100"/>
      <c r="X79" s="100"/>
      <c r="Y79" s="100"/>
      <c r="Z79" s="100"/>
      <c r="AA79" s="101"/>
      <c r="AB79" s="144"/>
      <c r="AC79" s="124"/>
      <c r="AD79" s="117"/>
      <c r="AE79" s="117"/>
      <c r="AF79" s="117"/>
      <c r="AG79" s="117"/>
      <c r="AH79" s="325"/>
    </row>
    <row r="80" spans="1:34" ht="13.5" customHeight="1">
      <c r="A80" s="428" t="s">
        <v>90</v>
      </c>
      <c r="B80" s="429"/>
      <c r="C80" s="429"/>
      <c r="D80" s="430"/>
      <c r="E80" s="431">
        <f>ROUND(0.22*$D$37,-1)</f>
        <v>1070</v>
      </c>
      <c r="F80" s="432"/>
      <c r="G80" s="432"/>
      <c r="H80" s="98" t="s">
        <v>11</v>
      </c>
      <c r="I80" s="206">
        <f>I79</f>
        <v>100</v>
      </c>
      <c r="J80" s="433" t="s">
        <v>87</v>
      </c>
      <c r="K80" s="433"/>
      <c r="L80" s="433"/>
      <c r="M80" s="98" t="s">
        <v>11</v>
      </c>
      <c r="N80" s="207">
        <f>N79</f>
        <v>80</v>
      </c>
      <c r="O80" s="433" t="s">
        <v>88</v>
      </c>
      <c r="P80" s="433"/>
      <c r="Q80" s="433"/>
      <c r="R80" s="433"/>
      <c r="S80" s="433"/>
      <c r="T80" s="98" t="s">
        <v>91</v>
      </c>
      <c r="U80" s="99">
        <f>N80</f>
        <v>80</v>
      </c>
      <c r="V80" s="102" t="s">
        <v>92</v>
      </c>
      <c r="W80" s="102"/>
      <c r="X80" s="102"/>
      <c r="Y80" s="102"/>
      <c r="Z80" s="102"/>
      <c r="AA80" s="103"/>
      <c r="AB80" s="146"/>
      <c r="AC80" s="434" t="s">
        <v>132</v>
      </c>
      <c r="AD80" s="435"/>
      <c r="AE80" s="436"/>
      <c r="AF80" s="117"/>
      <c r="AG80" s="117"/>
      <c r="AH80" s="325"/>
    </row>
    <row r="81" spans="1:34" ht="13.5" customHeight="1">
      <c r="A81" s="428" t="s">
        <v>93</v>
      </c>
      <c r="B81" s="429"/>
      <c r="C81" s="429"/>
      <c r="D81" s="430"/>
      <c r="E81" s="431">
        <f>AC81</f>
        <v>600</v>
      </c>
      <c r="F81" s="432"/>
      <c r="G81" s="432"/>
      <c r="H81" s="163" t="s">
        <v>131</v>
      </c>
      <c r="I81" s="105"/>
      <c r="J81" s="104"/>
      <c r="K81" s="104"/>
      <c r="L81" s="104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7"/>
      <c r="Z81" s="106"/>
      <c r="AA81" s="108"/>
      <c r="AB81" s="146"/>
      <c r="AC81" s="437">
        <v>600</v>
      </c>
      <c r="AD81" s="438"/>
      <c r="AE81" s="439"/>
      <c r="AF81" s="117"/>
      <c r="AG81" s="117"/>
      <c r="AH81" s="325" t="s">
        <v>170</v>
      </c>
    </row>
    <row r="82" spans="1:34" ht="13.5" customHeight="1" thickBot="1">
      <c r="A82" s="440" t="s">
        <v>94</v>
      </c>
      <c r="B82" s="441"/>
      <c r="C82" s="441"/>
      <c r="D82" s="442"/>
      <c r="E82" s="109" t="s">
        <v>95</v>
      </c>
      <c r="F82" s="110"/>
      <c r="G82" s="110"/>
      <c r="H82" s="110"/>
      <c r="I82" s="111"/>
      <c r="J82" s="110"/>
      <c r="K82" s="110"/>
      <c r="L82" s="110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3"/>
      <c r="Z82" s="112"/>
      <c r="AA82" s="114"/>
      <c r="AB82" s="147"/>
      <c r="AC82" s="148"/>
      <c r="AD82" s="117"/>
      <c r="AE82" s="117"/>
      <c r="AF82" s="117"/>
      <c r="AG82" s="117"/>
      <c r="AH82" s="325"/>
    </row>
    <row r="83" spans="1:34" ht="15" customHeight="1">
      <c r="A83" s="443" t="s">
        <v>96</v>
      </c>
      <c r="B83" s="164"/>
      <c r="C83" s="183" t="s">
        <v>145</v>
      </c>
      <c r="D83" s="165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6"/>
      <c r="AB83" s="147"/>
      <c r="AC83" s="188"/>
      <c r="AD83" s="189"/>
      <c r="AE83" s="189"/>
      <c r="AF83" s="189"/>
      <c r="AG83" s="117"/>
      <c r="AH83" s="325"/>
    </row>
    <row r="84" spans="1:34" ht="15" customHeight="1">
      <c r="A84" s="444"/>
      <c r="B84" s="184"/>
      <c r="C84" s="185" t="s">
        <v>146</v>
      </c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8"/>
      <c r="AB84" s="147"/>
      <c r="AC84" s="188"/>
      <c r="AD84" s="446" t="s">
        <v>148</v>
      </c>
      <c r="AE84" s="446"/>
      <c r="AF84" s="446"/>
      <c r="AG84" s="446"/>
      <c r="AH84" s="325" t="s">
        <v>171</v>
      </c>
    </row>
    <row r="85" spans="1:34" ht="15" customHeight="1" thickBot="1">
      <c r="A85" s="445"/>
      <c r="B85" s="186"/>
      <c r="C85" s="187" t="s">
        <v>147</v>
      </c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70"/>
      <c r="AB85" s="147"/>
      <c r="AC85" s="188"/>
      <c r="AD85" s="446"/>
      <c r="AE85" s="446"/>
      <c r="AF85" s="446"/>
      <c r="AG85" s="446"/>
      <c r="AH85" s="325"/>
    </row>
    <row r="86" spans="1:34" ht="13.5" customHeight="1">
      <c r="A86" s="150"/>
      <c r="B86" s="447" t="s">
        <v>125</v>
      </c>
      <c r="C86" s="447"/>
      <c r="D86" s="447"/>
      <c r="E86" s="447"/>
      <c r="F86" s="447"/>
      <c r="G86" s="447"/>
      <c r="H86" s="447"/>
      <c r="I86" s="447"/>
      <c r="J86" s="447"/>
      <c r="K86" s="447"/>
      <c r="L86" s="449" t="s">
        <v>97</v>
      </c>
      <c r="M86" s="451" t="s">
        <v>98</v>
      </c>
      <c r="N86" s="452"/>
      <c r="O86" s="451" t="s">
        <v>99</v>
      </c>
      <c r="P86" s="455"/>
      <c r="Q86" s="457" t="s">
        <v>100</v>
      </c>
      <c r="R86" s="458"/>
      <c r="S86" s="458"/>
      <c r="T86" s="458"/>
      <c r="U86" s="458"/>
      <c r="V86" s="458"/>
      <c r="W86" s="458"/>
      <c r="X86" s="458"/>
      <c r="Y86" s="458"/>
      <c r="Z86" s="458"/>
      <c r="AA86" s="459"/>
      <c r="AB86" s="147"/>
      <c r="AC86" s="188"/>
      <c r="AD86" s="446"/>
      <c r="AE86" s="446"/>
      <c r="AF86" s="446"/>
      <c r="AG86" s="446"/>
      <c r="AH86" s="325"/>
    </row>
    <row r="87" spans="1:34" ht="13.5" customHeight="1">
      <c r="A87" s="333" t="s">
        <v>217</v>
      </c>
      <c r="B87" s="448"/>
      <c r="C87" s="448"/>
      <c r="D87" s="448"/>
      <c r="E87" s="448"/>
      <c r="F87" s="448"/>
      <c r="G87" s="448"/>
      <c r="H87" s="448"/>
      <c r="I87" s="448"/>
      <c r="J87" s="448"/>
      <c r="K87" s="448"/>
      <c r="L87" s="450"/>
      <c r="M87" s="453"/>
      <c r="N87" s="454"/>
      <c r="O87" s="453"/>
      <c r="P87" s="456"/>
      <c r="Q87" s="460" t="s">
        <v>101</v>
      </c>
      <c r="R87" s="461"/>
      <c r="S87" s="461"/>
      <c r="T87" s="461"/>
      <c r="U87" s="461"/>
      <c r="V87" s="461"/>
      <c r="W87" s="461"/>
      <c r="X87" s="461"/>
      <c r="Y87" s="461"/>
      <c r="Z87" s="461"/>
      <c r="AA87" s="462"/>
      <c r="AB87" s="147"/>
      <c r="AC87" s="188"/>
      <c r="AD87" s="446"/>
      <c r="AE87" s="446"/>
      <c r="AF87" s="446"/>
      <c r="AG87" s="446"/>
      <c r="AH87" s="325"/>
    </row>
    <row r="88" spans="1:34" ht="13.5" customHeight="1">
      <c r="A88" s="333" t="s">
        <v>102</v>
      </c>
      <c r="B88" s="463" t="s">
        <v>103</v>
      </c>
      <c r="C88" s="463"/>
      <c r="D88" s="463"/>
      <c r="E88" s="463"/>
      <c r="F88" s="463"/>
      <c r="G88" s="463"/>
      <c r="H88" s="463"/>
      <c r="I88" s="463"/>
      <c r="J88" s="463"/>
      <c r="K88" s="463"/>
      <c r="L88" s="450"/>
      <c r="M88" s="453"/>
      <c r="N88" s="454"/>
      <c r="O88" s="453"/>
      <c r="P88" s="456"/>
      <c r="Q88" s="464" t="s">
        <v>104</v>
      </c>
      <c r="R88" s="465"/>
      <c r="S88" s="465"/>
      <c r="T88" s="466" t="s">
        <v>105</v>
      </c>
      <c r="U88" s="466"/>
      <c r="V88" s="466"/>
      <c r="W88" s="467"/>
      <c r="X88" s="468" t="s">
        <v>106</v>
      </c>
      <c r="Y88" s="469"/>
      <c r="Z88" s="470" t="s">
        <v>107</v>
      </c>
      <c r="AA88" s="471"/>
      <c r="AB88" s="147"/>
      <c r="AC88" s="188"/>
      <c r="AD88" s="446"/>
      <c r="AE88" s="446"/>
      <c r="AF88" s="446"/>
      <c r="AG88" s="446"/>
      <c r="AH88" s="325"/>
    </row>
    <row r="89" spans="1:34" ht="13.5" customHeight="1">
      <c r="A89" s="333" t="s">
        <v>108</v>
      </c>
      <c r="B89" s="474" t="s">
        <v>126</v>
      </c>
      <c r="C89" s="475"/>
      <c r="D89" s="475"/>
      <c r="E89" s="476"/>
      <c r="F89" s="477" t="s">
        <v>109</v>
      </c>
      <c r="G89" s="478"/>
      <c r="H89" s="478"/>
      <c r="I89" s="478"/>
      <c r="J89" s="478"/>
      <c r="K89" s="478"/>
      <c r="L89" s="152" t="s">
        <v>110</v>
      </c>
      <c r="M89" s="479">
        <v>100</v>
      </c>
      <c r="N89" s="480"/>
      <c r="O89" s="479">
        <v>100</v>
      </c>
      <c r="P89" s="481"/>
      <c r="Q89" s="484" t="s">
        <v>111</v>
      </c>
      <c r="R89" s="485"/>
      <c r="S89" s="485"/>
      <c r="T89" s="485" t="s">
        <v>112</v>
      </c>
      <c r="U89" s="485"/>
      <c r="V89" s="485"/>
      <c r="W89" s="486"/>
      <c r="X89" s="487">
        <v>200</v>
      </c>
      <c r="Y89" s="488"/>
      <c r="Z89" s="472">
        <v>200</v>
      </c>
      <c r="AA89" s="473"/>
      <c r="AB89" s="147"/>
      <c r="AC89" s="188"/>
      <c r="AD89" s="446"/>
      <c r="AE89" s="446"/>
      <c r="AF89" s="446"/>
      <c r="AG89" s="446"/>
      <c r="AH89" s="325"/>
    </row>
    <row r="90" spans="1:34" ht="13.5" customHeight="1" thickBot="1">
      <c r="A90" s="151"/>
      <c r="B90" s="482" t="s">
        <v>113</v>
      </c>
      <c r="C90" s="482"/>
      <c r="D90" s="482"/>
      <c r="E90" s="483"/>
      <c r="F90" s="364" t="s">
        <v>114</v>
      </c>
      <c r="G90" s="365"/>
      <c r="H90" s="365"/>
      <c r="I90" s="365"/>
      <c r="J90" s="365"/>
      <c r="K90" s="365"/>
      <c r="L90" s="153" t="s">
        <v>115</v>
      </c>
      <c r="M90" s="366">
        <v>0</v>
      </c>
      <c r="N90" s="367"/>
      <c r="O90" s="366">
        <v>0</v>
      </c>
      <c r="P90" s="368"/>
      <c r="Q90" s="369" t="s">
        <v>116</v>
      </c>
      <c r="R90" s="370"/>
      <c r="S90" s="370"/>
      <c r="T90" s="370" t="s">
        <v>112</v>
      </c>
      <c r="U90" s="370"/>
      <c r="V90" s="370"/>
      <c r="W90" s="489"/>
      <c r="X90" s="490">
        <v>100</v>
      </c>
      <c r="Y90" s="491"/>
      <c r="Z90" s="362">
        <v>100</v>
      </c>
      <c r="AA90" s="363"/>
      <c r="AB90" s="149"/>
      <c r="AC90" s="122"/>
      <c r="AD90" s="122"/>
      <c r="AE90" s="122"/>
      <c r="AF90" s="122"/>
      <c r="AG90" s="117"/>
      <c r="AH90" s="325"/>
    </row>
  </sheetData>
  <mergeCells count="107">
    <mergeCell ref="B90:E90"/>
    <mergeCell ref="Q89:S89"/>
    <mergeCell ref="T89:W89"/>
    <mergeCell ref="X89:Y89"/>
    <mergeCell ref="T90:W90"/>
    <mergeCell ref="X90:Y90"/>
    <mergeCell ref="Z89:AA89"/>
    <mergeCell ref="B89:E89"/>
    <mergeCell ref="F89:K89"/>
    <mergeCell ref="M89:N89"/>
    <mergeCell ref="O89:P89"/>
    <mergeCell ref="Q88:S88"/>
    <mergeCell ref="T88:W88"/>
    <mergeCell ref="X88:Y88"/>
    <mergeCell ref="Z88:AA88"/>
    <mergeCell ref="A82:D82"/>
    <mergeCell ref="A83:A85"/>
    <mergeCell ref="AD84:AG89"/>
    <mergeCell ref="B86:K87"/>
    <mergeCell ref="L86:L88"/>
    <mergeCell ref="M86:N88"/>
    <mergeCell ref="O86:P88"/>
    <mergeCell ref="Q86:AA86"/>
    <mergeCell ref="Q87:AA87"/>
    <mergeCell ref="B88:K88"/>
    <mergeCell ref="AC80:AE80"/>
    <mergeCell ref="A81:D81"/>
    <mergeCell ref="E81:G81"/>
    <mergeCell ref="AC81:AE81"/>
    <mergeCell ref="A80:D80"/>
    <mergeCell ref="E80:G80"/>
    <mergeCell ref="J80:L80"/>
    <mergeCell ref="O80:S80"/>
    <mergeCell ref="W78:X78"/>
    <mergeCell ref="AC78:AD78"/>
    <mergeCell ref="A79:D79"/>
    <mergeCell ref="E79:G79"/>
    <mergeCell ref="J79:L79"/>
    <mergeCell ref="O79:S79"/>
    <mergeCell ref="AC75:AE75"/>
    <mergeCell ref="AC76:AE76"/>
    <mergeCell ref="AC77:AD77"/>
    <mergeCell ref="A78:D78"/>
    <mergeCell ref="E78:G78"/>
    <mergeCell ref="J78:L78"/>
    <mergeCell ref="M78:N78"/>
    <mergeCell ref="O78:P78"/>
    <mergeCell ref="Q78:R78"/>
    <mergeCell ref="T78:U78"/>
    <mergeCell ref="X57:AA57"/>
    <mergeCell ref="AC57:AD57"/>
    <mergeCell ref="S65:U65"/>
    <mergeCell ref="G66:I66"/>
    <mergeCell ref="L66:N66"/>
    <mergeCell ref="O66:W66"/>
    <mergeCell ref="X66:AA66"/>
    <mergeCell ref="S56:U56"/>
    <mergeCell ref="G57:I57"/>
    <mergeCell ref="L57:N57"/>
    <mergeCell ref="O57:W57"/>
    <mergeCell ref="AC37:AF38"/>
    <mergeCell ref="AC39:AF39"/>
    <mergeCell ref="S42:U42"/>
    <mergeCell ref="G43:I43"/>
    <mergeCell ref="L43:N43"/>
    <mergeCell ref="O43:W44"/>
    <mergeCell ref="X43:AA43"/>
    <mergeCell ref="AC43:AF44"/>
    <mergeCell ref="A29:AA29"/>
    <mergeCell ref="AC29:AG29"/>
    <mergeCell ref="S30:U30"/>
    <mergeCell ref="G31:I31"/>
    <mergeCell ref="L31:N31"/>
    <mergeCell ref="O31:W31"/>
    <mergeCell ref="X31:AA31"/>
    <mergeCell ref="Z90:AA90"/>
    <mergeCell ref="F90:K90"/>
    <mergeCell ref="M90:N90"/>
    <mergeCell ref="O90:P90"/>
    <mergeCell ref="Q90:S90"/>
    <mergeCell ref="A20:AG20"/>
    <mergeCell ref="A21:AG21"/>
    <mergeCell ref="A19:AG19"/>
    <mergeCell ref="A28:AH28"/>
    <mergeCell ref="A25:AG25"/>
    <mergeCell ref="A24:AG24"/>
    <mergeCell ref="A22:AG22"/>
    <mergeCell ref="A23:AG23"/>
    <mergeCell ref="A27:AG27"/>
    <mergeCell ref="A26:AG26"/>
    <mergeCell ref="A2:AG2"/>
    <mergeCell ref="A3:AG3"/>
    <mergeCell ref="A4:AG4"/>
    <mergeCell ref="A18:AG18"/>
    <mergeCell ref="A16:AG16"/>
    <mergeCell ref="A17:AG17"/>
    <mergeCell ref="A14:AG14"/>
    <mergeCell ref="A13:AG13"/>
    <mergeCell ref="A15:AG15"/>
    <mergeCell ref="A9:AG9"/>
    <mergeCell ref="A10:AG10"/>
    <mergeCell ref="A11:AG11"/>
    <mergeCell ref="A12:AG12"/>
    <mergeCell ref="A5:AG5"/>
    <mergeCell ref="A6:AG6"/>
    <mergeCell ref="A7:AG7"/>
    <mergeCell ref="A8:AG8"/>
  </mergeCells>
  <printOptions horizontalCentered="1" verticalCentered="1"/>
  <pageMargins left="0.34" right="0.28" top="0" bottom="0" header="0" footer="0"/>
  <pageSetup horizontalDpi="600" verticalDpi="600" orientation="landscape" scale="60" r:id="rId2"/>
  <rowBreaks count="1" manualBreakCount="1">
    <brk id="28" max="3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2"/>
  <sheetViews>
    <sheetView tabSelected="1" zoomScale="90" zoomScaleNormal="90" zoomScaleSheetLayoutView="100" workbookViewId="0" topLeftCell="A1">
      <selection activeCell="AM6" sqref="AM6"/>
    </sheetView>
  </sheetViews>
  <sheetFormatPr defaultColWidth="9.140625" defaultRowHeight="12.75"/>
  <cols>
    <col min="1" max="1" width="18.8515625" style="2" customWidth="1"/>
    <col min="2" max="2" width="1.421875" style="2" customWidth="1"/>
    <col min="3" max="3" width="7.8515625" style="83" customWidth="1"/>
    <col min="4" max="4" width="6.8515625" style="83" customWidth="1"/>
    <col min="5" max="5" width="2.8515625" style="84" customWidth="1"/>
    <col min="6" max="6" width="1.28515625" style="83" customWidth="1"/>
    <col min="7" max="7" width="5.28125" style="85" customWidth="1"/>
    <col min="8" max="8" width="1.1484375" style="85" customWidth="1"/>
    <col min="9" max="9" width="5.7109375" style="86" customWidth="1"/>
    <col min="10" max="10" width="2.7109375" style="84" customWidth="1"/>
    <col min="11" max="11" width="1.28515625" style="83" customWidth="1"/>
    <col min="12" max="12" width="4.7109375" style="85" customWidth="1"/>
    <col min="13" max="13" width="1.28515625" style="85" customWidth="1"/>
    <col min="14" max="14" width="5.7109375" style="87" customWidth="1"/>
    <col min="15" max="15" width="5.28125" style="88" customWidth="1"/>
    <col min="16" max="16" width="1.28515625" style="85" customWidth="1"/>
    <col min="17" max="17" width="5.28125" style="85" customWidth="1"/>
    <col min="18" max="18" width="1.28515625" style="85" customWidth="1"/>
    <col min="19" max="19" width="5.28125" style="85" customWidth="1"/>
    <col min="20" max="20" width="1.57421875" style="85" customWidth="1"/>
    <col min="21" max="21" width="5.28125" style="88" customWidth="1"/>
    <col min="22" max="22" width="1.1484375" style="80" customWidth="1"/>
    <col min="23" max="23" width="2.57421875" style="87" customWidth="1"/>
    <col min="24" max="24" width="8.00390625" style="89" customWidth="1"/>
    <col min="25" max="25" width="5.28125" style="2" customWidth="1"/>
    <col min="26" max="26" width="7.7109375" style="90" customWidth="1"/>
    <col min="27" max="27" width="6.140625" style="91" customWidth="1"/>
    <col min="28" max="28" width="1.7109375" style="87" customWidth="1"/>
    <col min="29" max="29" width="8.57421875" style="81" customWidth="1"/>
    <col min="30" max="30" width="6.28125" style="0" customWidth="1"/>
    <col min="31" max="31" width="7.28125" style="0" customWidth="1"/>
    <col min="32" max="32" width="10.8515625" style="0" customWidth="1"/>
    <col min="33" max="33" width="5.7109375" style="0" customWidth="1"/>
    <col min="34" max="34" width="5.8515625" style="324" customWidth="1"/>
  </cols>
  <sheetData>
    <row r="1" spans="1:34" ht="47.25" customHeight="1" thickBot="1">
      <c r="A1" s="371" t="s">
        <v>218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158"/>
      <c r="AC1" s="372" t="s">
        <v>128</v>
      </c>
      <c r="AD1" s="373"/>
      <c r="AE1" s="373"/>
      <c r="AF1" s="373"/>
      <c r="AG1" s="373"/>
      <c r="AH1" s="325" t="s">
        <v>162</v>
      </c>
    </row>
    <row r="2" spans="1:34" ht="30.75" thickBot="1">
      <c r="A2" s="3" t="s">
        <v>26</v>
      </c>
      <c r="B2" s="4"/>
      <c r="C2" s="332" t="s">
        <v>212</v>
      </c>
      <c r="D2" s="5"/>
      <c r="E2" s="5"/>
      <c r="F2" s="5"/>
      <c r="G2" s="6"/>
      <c r="H2" s="6"/>
      <c r="I2" s="7"/>
      <c r="J2" s="8"/>
      <c r="K2" s="5"/>
      <c r="L2" s="6"/>
      <c r="M2" s="6"/>
      <c r="N2" s="9"/>
      <c r="O2" s="10"/>
      <c r="P2" s="11"/>
      <c r="Q2" s="12" t="s">
        <v>49</v>
      </c>
      <c r="R2" s="11"/>
      <c r="S2" s="374">
        <f>ROUNDDOWN(D9/AC3,1)-0.05</f>
        <v>7.45</v>
      </c>
      <c r="T2" s="374"/>
      <c r="U2" s="374"/>
      <c r="V2" s="6"/>
      <c r="W2" s="6"/>
      <c r="X2" s="13">
        <f>AC12</f>
        <v>0.05</v>
      </c>
      <c r="Y2" s="13"/>
      <c r="Z2" s="13">
        <f>AC13</f>
        <v>0.02</v>
      </c>
      <c r="AA2" s="14"/>
      <c r="AB2" s="118"/>
      <c r="AC2" s="116" t="s">
        <v>120</v>
      </c>
      <c r="AD2" s="115"/>
      <c r="AE2" s="115"/>
      <c r="AF2" s="115"/>
      <c r="AG2" s="117"/>
      <c r="AH2" s="325"/>
    </row>
    <row r="3" spans="1:34" ht="15.75">
      <c r="A3" s="15" t="s">
        <v>27</v>
      </c>
      <c r="B3" s="4"/>
      <c r="C3" s="16" t="s">
        <v>97</v>
      </c>
      <c r="D3" s="17" t="s">
        <v>0</v>
      </c>
      <c r="E3" s="18">
        <v>0.7</v>
      </c>
      <c r="F3" s="19"/>
      <c r="G3" s="375" t="s">
        <v>50</v>
      </c>
      <c r="H3" s="375"/>
      <c r="I3" s="376"/>
      <c r="J3" s="18">
        <v>0.5</v>
      </c>
      <c r="K3" s="20"/>
      <c r="L3" s="377" t="s">
        <v>51</v>
      </c>
      <c r="M3" s="377"/>
      <c r="N3" s="378"/>
      <c r="O3" s="379" t="s">
        <v>52</v>
      </c>
      <c r="P3" s="380"/>
      <c r="Q3" s="380"/>
      <c r="R3" s="380"/>
      <c r="S3" s="380"/>
      <c r="T3" s="380"/>
      <c r="U3" s="380"/>
      <c r="V3" s="380"/>
      <c r="W3" s="381"/>
      <c r="X3" s="382" t="s">
        <v>53</v>
      </c>
      <c r="Y3" s="383"/>
      <c r="Z3" s="383"/>
      <c r="AA3" s="384"/>
      <c r="AB3" s="118"/>
      <c r="AC3" s="155">
        <v>850</v>
      </c>
      <c r="AD3" s="119" t="s">
        <v>119</v>
      </c>
      <c r="AE3" s="120"/>
      <c r="AF3" s="117"/>
      <c r="AG3" s="117"/>
      <c r="AH3" s="325" t="s">
        <v>164</v>
      </c>
    </row>
    <row r="4" spans="1:34" ht="22.5">
      <c r="A4" s="21" t="s">
        <v>28</v>
      </c>
      <c r="B4" s="22"/>
      <c r="C4" s="23" t="s">
        <v>1</v>
      </c>
      <c r="D4" s="24" t="s">
        <v>2</v>
      </c>
      <c r="E4" s="25" t="s">
        <v>54</v>
      </c>
      <c r="F4" s="26"/>
      <c r="G4" s="26"/>
      <c r="H4" s="26"/>
      <c r="I4" s="27" t="s">
        <v>3</v>
      </c>
      <c r="J4" s="25" t="s">
        <v>55</v>
      </c>
      <c r="K4" s="26"/>
      <c r="L4" s="26"/>
      <c r="M4" s="26"/>
      <c r="N4" s="28" t="s">
        <v>3</v>
      </c>
      <c r="O4" s="29" t="s">
        <v>4</v>
      </c>
      <c r="P4" s="30"/>
      <c r="Q4" s="30" t="s">
        <v>5</v>
      </c>
      <c r="R4" s="30"/>
      <c r="S4" s="30" t="s">
        <v>6</v>
      </c>
      <c r="T4" s="30"/>
      <c r="U4" s="30" t="s">
        <v>7</v>
      </c>
      <c r="V4" s="30"/>
      <c r="W4" s="31" t="s">
        <v>8</v>
      </c>
      <c r="X4" s="32" t="s">
        <v>56</v>
      </c>
      <c r="Y4" s="33" t="s">
        <v>57</v>
      </c>
      <c r="Z4" s="34" t="s">
        <v>58</v>
      </c>
      <c r="AA4" s="35" t="s">
        <v>57</v>
      </c>
      <c r="AB4" s="123"/>
      <c r="AC4" s="157" t="s">
        <v>163</v>
      </c>
      <c r="AD4" s="117"/>
      <c r="AE4" s="117"/>
      <c r="AF4" s="117"/>
      <c r="AG4" s="117"/>
      <c r="AH4" s="325"/>
    </row>
    <row r="5" spans="1:34" ht="13.5" customHeight="1">
      <c r="A5" s="36" t="s">
        <v>29</v>
      </c>
      <c r="B5" s="37"/>
      <c r="C5" s="280" t="s">
        <v>9</v>
      </c>
      <c r="D5" s="209">
        <f>D9-2*$AC$6</f>
        <v>4930</v>
      </c>
      <c r="E5" s="210">
        <v>12</v>
      </c>
      <c r="F5" s="211" t="s">
        <v>10</v>
      </c>
      <c r="G5" s="212" t="str">
        <f aca="true" t="shared" si="0" ref="G5:G11">DOLLAR(ROUNDUP(+INT(D5*($E$3)/E5),-1),0)</f>
        <v>$290</v>
      </c>
      <c r="H5" s="213" t="s">
        <v>11</v>
      </c>
      <c r="I5" s="214" t="str">
        <f aca="true" t="shared" si="1" ref="I5:I11">DOLLAR(D5-(E5*G5),0)</f>
        <v>$1,450</v>
      </c>
      <c r="J5" s="210">
        <f aca="true" t="shared" si="2" ref="J5:J11">E5</f>
        <v>12</v>
      </c>
      <c r="K5" s="211" t="s">
        <v>10</v>
      </c>
      <c r="L5" s="212" t="str">
        <f aca="true" t="shared" si="3" ref="L5:L11">DOLLAR(ROUNDUP(+INT(D5*($J$3)/E5),-1),0)</f>
        <v>$210</v>
      </c>
      <c r="M5" s="213" t="s">
        <v>11</v>
      </c>
      <c r="N5" s="215" t="str">
        <f aca="true" t="shared" si="4" ref="N5:N11">DOLLAR($D5-(J5*L5),0)</f>
        <v>$2,410</v>
      </c>
      <c r="O5" s="210" t="str">
        <f aca="true" t="shared" si="5" ref="O5:O11">DOLLAR(ROUNDUP((I5+2*G5)*0.45,-2)-25,0)</f>
        <v>$975</v>
      </c>
      <c r="P5" s="213" t="s">
        <v>12</v>
      </c>
      <c r="Q5" s="211" t="str">
        <f>DOLLAR(ROUNDUP((I5+2*G5)*0.35,-2)-75,0)</f>
        <v>$725</v>
      </c>
      <c r="R5" s="213" t="s">
        <v>12</v>
      </c>
      <c r="S5" s="211" t="str">
        <f aca="true" t="shared" si="6" ref="S5:S11">DOLLAR(I5+2*G5-O5-Q5,0)</f>
        <v>$330</v>
      </c>
      <c r="T5" s="213" t="s">
        <v>11</v>
      </c>
      <c r="U5" s="216" t="str">
        <f aca="true" t="shared" si="7" ref="U5:U11">G5</f>
        <v>$290</v>
      </c>
      <c r="V5" s="211" t="str">
        <f aca="true" t="shared" si="8" ref="V5:V11">F5</f>
        <v>x</v>
      </c>
      <c r="W5" s="215">
        <f aca="true" t="shared" si="9" ref="W5:W11">ABS(E5-2)</f>
        <v>10</v>
      </c>
      <c r="X5" s="209">
        <f>$D5-ROUNDDOWN($D5*$X$2,0)</f>
        <v>4684</v>
      </c>
      <c r="Y5" s="217">
        <f aca="true" t="shared" si="10" ref="Y5:Y12">D5-X5</f>
        <v>246</v>
      </c>
      <c r="Z5" s="218">
        <f aca="true" t="shared" si="11" ref="Z5:Z12">$D5-ROUNDDOWN($D5*$Z$2,0)</f>
        <v>4832</v>
      </c>
      <c r="AA5" s="219">
        <f aca="true" t="shared" si="12" ref="AA5:AA12">D5-Z5</f>
        <v>98</v>
      </c>
      <c r="AB5" s="125"/>
      <c r="AC5" s="121" t="s">
        <v>142</v>
      </c>
      <c r="AD5" s="122"/>
      <c r="AE5" s="122"/>
      <c r="AF5" s="122"/>
      <c r="AG5" s="117"/>
      <c r="AH5" s="325"/>
    </row>
    <row r="6" spans="1:34" ht="13.5" customHeight="1">
      <c r="A6" s="36" t="s">
        <v>30</v>
      </c>
      <c r="B6" s="37"/>
      <c r="C6" s="281" t="s">
        <v>59</v>
      </c>
      <c r="D6" s="221">
        <f>D9-$AC$6-ROUNDDOWN(0.5*$AC$6,-2)</f>
        <v>5380</v>
      </c>
      <c r="E6" s="222">
        <v>15</v>
      </c>
      <c r="F6" s="223" t="s">
        <v>10</v>
      </c>
      <c r="G6" s="224" t="str">
        <f t="shared" si="0"/>
        <v>$260</v>
      </c>
      <c r="H6" s="225" t="s">
        <v>11</v>
      </c>
      <c r="I6" s="282" t="str">
        <f t="shared" si="1"/>
        <v>$1,480</v>
      </c>
      <c r="J6" s="222">
        <f t="shared" si="2"/>
        <v>15</v>
      </c>
      <c r="K6" s="223" t="s">
        <v>10</v>
      </c>
      <c r="L6" s="224" t="str">
        <f t="shared" si="3"/>
        <v>$180</v>
      </c>
      <c r="M6" s="225" t="s">
        <v>11</v>
      </c>
      <c r="N6" s="228" t="str">
        <f t="shared" si="4"/>
        <v>$2,680</v>
      </c>
      <c r="O6" s="222" t="str">
        <f t="shared" si="5"/>
        <v>$875</v>
      </c>
      <c r="P6" s="225" t="s">
        <v>12</v>
      </c>
      <c r="Q6" s="223" t="str">
        <f>DOLLAR(ROUNDUP((I6+2*G6)*0.35,-2)-75,0)</f>
        <v>$625</v>
      </c>
      <c r="R6" s="225" t="s">
        <v>12</v>
      </c>
      <c r="S6" s="223" t="str">
        <f t="shared" si="6"/>
        <v>$500</v>
      </c>
      <c r="T6" s="225" t="s">
        <v>11</v>
      </c>
      <c r="U6" s="227" t="str">
        <f t="shared" si="7"/>
        <v>$260</v>
      </c>
      <c r="V6" s="223" t="str">
        <f t="shared" si="8"/>
        <v>x</v>
      </c>
      <c r="W6" s="228">
        <f t="shared" si="9"/>
        <v>13</v>
      </c>
      <c r="X6" s="221">
        <f aca="true" t="shared" si="13" ref="X6:X12">$D6-ROUNDDOWN($D6*$X$2,0)</f>
        <v>5111</v>
      </c>
      <c r="Y6" s="230">
        <f t="shared" si="10"/>
        <v>269</v>
      </c>
      <c r="Z6" s="231">
        <f t="shared" si="11"/>
        <v>5273</v>
      </c>
      <c r="AA6" s="232">
        <f t="shared" si="12"/>
        <v>107</v>
      </c>
      <c r="AB6" s="125"/>
      <c r="AC6" s="173">
        <f>ROUND(D9*0.12,-2)-50</f>
        <v>750</v>
      </c>
      <c r="AD6" s="156" t="s">
        <v>174</v>
      </c>
      <c r="AE6" s="117"/>
      <c r="AF6" s="117"/>
      <c r="AG6" s="117"/>
      <c r="AH6" s="325" t="s">
        <v>182</v>
      </c>
    </row>
    <row r="7" spans="1:34" ht="13.5" customHeight="1">
      <c r="A7" s="36" t="s">
        <v>31</v>
      </c>
      <c r="B7" s="37"/>
      <c r="C7" s="281" t="s">
        <v>13</v>
      </c>
      <c r="D7" s="221">
        <f>D9-$AC$6</f>
        <v>5680</v>
      </c>
      <c r="E7" s="222">
        <v>18</v>
      </c>
      <c r="F7" s="223" t="s">
        <v>10</v>
      </c>
      <c r="G7" s="224" t="str">
        <f t="shared" si="0"/>
        <v>$220</v>
      </c>
      <c r="H7" s="225" t="s">
        <v>11</v>
      </c>
      <c r="I7" s="282" t="str">
        <f t="shared" si="1"/>
        <v>$1,720</v>
      </c>
      <c r="J7" s="222">
        <f t="shared" si="2"/>
        <v>18</v>
      </c>
      <c r="K7" s="223" t="s">
        <v>10</v>
      </c>
      <c r="L7" s="224" t="str">
        <f t="shared" si="3"/>
        <v>$160</v>
      </c>
      <c r="M7" s="225" t="s">
        <v>11</v>
      </c>
      <c r="N7" s="228" t="str">
        <f t="shared" si="4"/>
        <v>$2,800</v>
      </c>
      <c r="O7" s="222" t="str">
        <f t="shared" si="5"/>
        <v>$975</v>
      </c>
      <c r="P7" s="225" t="s">
        <v>12</v>
      </c>
      <c r="Q7" s="223" t="str">
        <f>DOLLAR(ROUNDUP((I7+2*G7)*0.35,-2)-75,0)</f>
        <v>$725</v>
      </c>
      <c r="R7" s="225" t="s">
        <v>12</v>
      </c>
      <c r="S7" s="223" t="str">
        <f t="shared" si="6"/>
        <v>$460</v>
      </c>
      <c r="T7" s="225" t="s">
        <v>11</v>
      </c>
      <c r="U7" s="227" t="str">
        <f t="shared" si="7"/>
        <v>$220</v>
      </c>
      <c r="V7" s="223" t="str">
        <f t="shared" si="8"/>
        <v>x</v>
      </c>
      <c r="W7" s="228">
        <f t="shared" si="9"/>
        <v>16</v>
      </c>
      <c r="X7" s="221">
        <f t="shared" si="13"/>
        <v>5396</v>
      </c>
      <c r="Y7" s="230">
        <f t="shared" si="10"/>
        <v>284</v>
      </c>
      <c r="Z7" s="231">
        <f t="shared" si="11"/>
        <v>5567</v>
      </c>
      <c r="AA7" s="232">
        <f t="shared" si="12"/>
        <v>113</v>
      </c>
      <c r="AB7" s="125"/>
      <c r="AC7" s="126" t="s">
        <v>121</v>
      </c>
      <c r="AD7" s="127"/>
      <c r="AE7" s="128"/>
      <c r="AF7" s="129"/>
      <c r="AG7" s="117"/>
      <c r="AH7" s="325"/>
    </row>
    <row r="8" spans="1:34" ht="13.5" customHeight="1">
      <c r="A8" s="36" t="s">
        <v>32</v>
      </c>
      <c r="B8" s="37"/>
      <c r="C8" s="281" t="s">
        <v>60</v>
      </c>
      <c r="D8" s="221">
        <f>D9-ROUNDUP(0.5*$AC$6,-2)+50</f>
        <v>6080</v>
      </c>
      <c r="E8" s="222">
        <v>21</v>
      </c>
      <c r="F8" s="223" t="s">
        <v>10</v>
      </c>
      <c r="G8" s="224" t="str">
        <f>DOLLAR(ROUNDUP(+INT(D8*($E$3)/E8),-1),0)</f>
        <v>$210</v>
      </c>
      <c r="H8" s="225" t="s">
        <v>11</v>
      </c>
      <c r="I8" s="282" t="str">
        <f>DOLLAR(D8-(E8*G8),0)</f>
        <v>$1,670</v>
      </c>
      <c r="J8" s="222">
        <f>E8</f>
        <v>21</v>
      </c>
      <c r="K8" s="223" t="s">
        <v>10</v>
      </c>
      <c r="L8" s="224" t="str">
        <f>DOLLAR(ROUNDUP(+INT(D8*($J$3)/E8),-1),0)</f>
        <v>$150</v>
      </c>
      <c r="M8" s="225" t="s">
        <v>11</v>
      </c>
      <c r="N8" s="228" t="str">
        <f>DOLLAR($D8-(J8*L8),0)</f>
        <v>$2,930</v>
      </c>
      <c r="O8" s="222" t="str">
        <f>DOLLAR(ROUNDUP((I8+2*G8)*0.45,-2)-25,0)</f>
        <v>$975</v>
      </c>
      <c r="P8" s="225" t="s">
        <v>12</v>
      </c>
      <c r="Q8" s="223" t="str">
        <f>DOLLAR(ROUNDUP((I8+2*G8)*0.35,-2)-75,0)</f>
        <v>$725</v>
      </c>
      <c r="R8" s="225" t="s">
        <v>12</v>
      </c>
      <c r="S8" s="223" t="str">
        <f>DOLLAR(I8+2*G8-O8-Q8,0)</f>
        <v>$390</v>
      </c>
      <c r="T8" s="225" t="s">
        <v>11</v>
      </c>
      <c r="U8" s="227" t="str">
        <f>G8</f>
        <v>$210</v>
      </c>
      <c r="V8" s="223" t="str">
        <f>F8</f>
        <v>x</v>
      </c>
      <c r="W8" s="228">
        <f>ABS(E8-2)</f>
        <v>19</v>
      </c>
      <c r="X8" s="221">
        <f t="shared" si="13"/>
        <v>5776</v>
      </c>
      <c r="Y8" s="230">
        <f t="shared" si="10"/>
        <v>304</v>
      </c>
      <c r="Z8" s="231">
        <f t="shared" si="11"/>
        <v>5959</v>
      </c>
      <c r="AA8" s="232">
        <f t="shared" si="12"/>
        <v>121</v>
      </c>
      <c r="AB8" s="125"/>
      <c r="AC8" s="130"/>
      <c r="AD8" s="127"/>
      <c r="AE8" s="129"/>
      <c r="AF8" s="129"/>
      <c r="AG8" s="117"/>
      <c r="AH8" s="325"/>
    </row>
    <row r="9" spans="1:34" ht="13.5" customHeight="1">
      <c r="A9" s="41" t="s">
        <v>33</v>
      </c>
      <c r="B9" s="42"/>
      <c r="C9" s="283" t="s">
        <v>14</v>
      </c>
      <c r="D9" s="234">
        <v>6430</v>
      </c>
      <c r="E9" s="235">
        <v>24</v>
      </c>
      <c r="F9" s="236" t="s">
        <v>10</v>
      </c>
      <c r="G9" s="237" t="str">
        <f t="shared" si="0"/>
        <v>$190</v>
      </c>
      <c r="H9" s="238" t="s">
        <v>11</v>
      </c>
      <c r="I9" s="284" t="str">
        <f t="shared" si="1"/>
        <v>$1,870</v>
      </c>
      <c r="J9" s="235">
        <f t="shared" si="2"/>
        <v>24</v>
      </c>
      <c r="K9" s="236" t="s">
        <v>10</v>
      </c>
      <c r="L9" s="237" t="str">
        <f t="shared" si="3"/>
        <v>$140</v>
      </c>
      <c r="M9" s="238" t="s">
        <v>11</v>
      </c>
      <c r="N9" s="241" t="str">
        <f t="shared" si="4"/>
        <v>$3,070</v>
      </c>
      <c r="O9" s="235" t="str">
        <f t="shared" si="5"/>
        <v>$1,075</v>
      </c>
      <c r="P9" s="238" t="s">
        <v>12</v>
      </c>
      <c r="Q9" s="236" t="str">
        <f>DOLLAR(ROUNDUP((I9+2*G9)*0.35,-2)-75,0)</f>
        <v>$725</v>
      </c>
      <c r="R9" s="238" t="s">
        <v>12</v>
      </c>
      <c r="S9" s="236" t="str">
        <f t="shared" si="6"/>
        <v>$450</v>
      </c>
      <c r="T9" s="238" t="s">
        <v>11</v>
      </c>
      <c r="U9" s="240" t="str">
        <f t="shared" si="7"/>
        <v>$190</v>
      </c>
      <c r="V9" s="236" t="str">
        <f t="shared" si="8"/>
        <v>x</v>
      </c>
      <c r="W9" s="241">
        <f t="shared" si="9"/>
        <v>22</v>
      </c>
      <c r="X9" s="234">
        <f t="shared" si="13"/>
        <v>6109</v>
      </c>
      <c r="Y9" s="243">
        <f t="shared" si="10"/>
        <v>321</v>
      </c>
      <c r="Z9" s="244">
        <f t="shared" si="11"/>
        <v>6302</v>
      </c>
      <c r="AA9" s="245">
        <f t="shared" si="12"/>
        <v>128</v>
      </c>
      <c r="AB9" s="125"/>
      <c r="AC9" s="385" t="s">
        <v>141</v>
      </c>
      <c r="AD9" s="386"/>
      <c r="AE9" s="386"/>
      <c r="AF9" s="387"/>
      <c r="AG9" s="117"/>
      <c r="AH9" s="325"/>
    </row>
    <row r="10" spans="1:34" ht="13.5" customHeight="1">
      <c r="A10" s="43"/>
      <c r="B10" s="37"/>
      <c r="C10" s="281" t="s">
        <v>61</v>
      </c>
      <c r="D10" s="221">
        <f>D9+ROUNDDOWN(0.5*$AC$6,-2)+50</f>
        <v>6780</v>
      </c>
      <c r="E10" s="222">
        <v>27</v>
      </c>
      <c r="F10" s="223" t="s">
        <v>10</v>
      </c>
      <c r="G10" s="224" t="str">
        <f>DOLLAR(ROUNDUP(+INT(D10*($E$3)/E10),-1),0)</f>
        <v>$180</v>
      </c>
      <c r="H10" s="225" t="s">
        <v>11</v>
      </c>
      <c r="I10" s="282" t="str">
        <f>DOLLAR(D10-(E10*G10),0)</f>
        <v>$1,920</v>
      </c>
      <c r="J10" s="222">
        <f>E10</f>
        <v>27</v>
      </c>
      <c r="K10" s="223" t="s">
        <v>10</v>
      </c>
      <c r="L10" s="224" t="str">
        <f>DOLLAR(ROUNDUP(+INT(D10*($J$3)/E10),-1),0)</f>
        <v>$130</v>
      </c>
      <c r="M10" s="225" t="s">
        <v>11</v>
      </c>
      <c r="N10" s="228" t="str">
        <f>DOLLAR($D10-(J10*L10),0)</f>
        <v>$3,270</v>
      </c>
      <c r="O10" s="222" t="str">
        <f>DOLLAR(ROUNDUP((I10+2*G10)*0.45,-2)-25,0)</f>
        <v>$1,075</v>
      </c>
      <c r="P10" s="225" t="s">
        <v>12</v>
      </c>
      <c r="Q10" s="223" t="str">
        <f>DOLLAR(ROUNDUP((I10+2*G10)*0.35,-2)-100,0)</f>
        <v>$700</v>
      </c>
      <c r="R10" s="225" t="s">
        <v>12</v>
      </c>
      <c r="S10" s="223" t="str">
        <f>DOLLAR(I10+2*G10-O10-Q10,0)</f>
        <v>$505</v>
      </c>
      <c r="T10" s="225" t="s">
        <v>11</v>
      </c>
      <c r="U10" s="227" t="str">
        <f>G10</f>
        <v>$180</v>
      </c>
      <c r="V10" s="223" t="str">
        <f>F10</f>
        <v>x</v>
      </c>
      <c r="W10" s="228">
        <f>ABS(E10-2)</f>
        <v>25</v>
      </c>
      <c r="X10" s="221">
        <f t="shared" si="13"/>
        <v>6441</v>
      </c>
      <c r="Y10" s="230">
        <f t="shared" si="10"/>
        <v>339</v>
      </c>
      <c r="Z10" s="231">
        <f t="shared" si="11"/>
        <v>6645</v>
      </c>
      <c r="AA10" s="232">
        <f t="shared" si="12"/>
        <v>135</v>
      </c>
      <c r="AB10" s="125"/>
      <c r="AC10" s="388"/>
      <c r="AD10" s="389"/>
      <c r="AE10" s="389"/>
      <c r="AF10" s="390"/>
      <c r="AG10" s="117"/>
      <c r="AH10" s="325"/>
    </row>
    <row r="11" spans="1:34" ht="13.5" customHeight="1">
      <c r="A11" s="37"/>
      <c r="B11" s="37"/>
      <c r="C11" s="281" t="s">
        <v>15</v>
      </c>
      <c r="D11" s="221">
        <f>D9+$AC$6</f>
        <v>7180</v>
      </c>
      <c r="E11" s="222">
        <v>30</v>
      </c>
      <c r="F11" s="223" t="s">
        <v>10</v>
      </c>
      <c r="G11" s="224" t="str">
        <f t="shared" si="0"/>
        <v>$170</v>
      </c>
      <c r="H11" s="225" t="s">
        <v>11</v>
      </c>
      <c r="I11" s="282" t="str">
        <f t="shared" si="1"/>
        <v>$2,080</v>
      </c>
      <c r="J11" s="222">
        <f t="shared" si="2"/>
        <v>30</v>
      </c>
      <c r="K11" s="223" t="s">
        <v>10</v>
      </c>
      <c r="L11" s="224" t="str">
        <f t="shared" si="3"/>
        <v>$120</v>
      </c>
      <c r="M11" s="225" t="s">
        <v>11</v>
      </c>
      <c r="N11" s="228" t="str">
        <f t="shared" si="4"/>
        <v>$3,580</v>
      </c>
      <c r="O11" s="222" t="str">
        <f t="shared" si="5"/>
        <v>$1,075</v>
      </c>
      <c r="P11" s="225" t="s">
        <v>12</v>
      </c>
      <c r="Q11" s="223" t="str">
        <f>DOLLAR(ROUNDUP((I11+2*G11)*0.35,-2)-75,0)</f>
        <v>$825</v>
      </c>
      <c r="R11" s="225" t="s">
        <v>12</v>
      </c>
      <c r="S11" s="223" t="str">
        <f t="shared" si="6"/>
        <v>$520</v>
      </c>
      <c r="T11" s="225" t="s">
        <v>11</v>
      </c>
      <c r="U11" s="227" t="str">
        <f t="shared" si="7"/>
        <v>$170</v>
      </c>
      <c r="V11" s="223" t="str">
        <f t="shared" si="8"/>
        <v>x</v>
      </c>
      <c r="W11" s="228">
        <f t="shared" si="9"/>
        <v>28</v>
      </c>
      <c r="X11" s="221">
        <f t="shared" si="13"/>
        <v>6821</v>
      </c>
      <c r="Y11" s="230">
        <f t="shared" si="10"/>
        <v>359</v>
      </c>
      <c r="Z11" s="231">
        <f t="shared" si="11"/>
        <v>7037</v>
      </c>
      <c r="AA11" s="232">
        <f t="shared" si="12"/>
        <v>143</v>
      </c>
      <c r="AB11" s="125"/>
      <c r="AC11" s="391">
        <v>4880</v>
      </c>
      <c r="AD11" s="392"/>
      <c r="AE11" s="392"/>
      <c r="AF11" s="393"/>
      <c r="AG11" s="117"/>
      <c r="AH11" s="325" t="s">
        <v>165</v>
      </c>
    </row>
    <row r="12" spans="1:34" ht="13.5" customHeight="1" thickBot="1">
      <c r="A12" s="44"/>
      <c r="B12" s="44"/>
      <c r="C12" s="285" t="s">
        <v>16</v>
      </c>
      <c r="D12" s="247">
        <f>D9+2*$AC$6</f>
        <v>7930</v>
      </c>
      <c r="E12" s="274">
        <v>36</v>
      </c>
      <c r="F12" s="255" t="s">
        <v>10</v>
      </c>
      <c r="G12" s="250" t="str">
        <f>DOLLAR(ROUNDUP(+INT(D12*($E$3)/E12),-1),0)</f>
        <v>$160</v>
      </c>
      <c r="H12" s="275" t="s">
        <v>11</v>
      </c>
      <c r="I12" s="276" t="str">
        <f>DOLLAR(D12-(E12*G12),0)</f>
        <v>$2,170</v>
      </c>
      <c r="J12" s="274">
        <f>E12</f>
        <v>36</v>
      </c>
      <c r="K12" s="255" t="s">
        <v>10</v>
      </c>
      <c r="L12" s="250" t="str">
        <f>DOLLAR(ROUNDUP(+INT(D12*($J$3)/E12),-1),0)</f>
        <v>$110</v>
      </c>
      <c r="M12" s="275" t="s">
        <v>11</v>
      </c>
      <c r="N12" s="277" t="str">
        <f>DOLLAR($D12-(J12*L12),0)</f>
        <v>$3,970</v>
      </c>
      <c r="O12" s="274" t="str">
        <f>DOLLAR(ROUNDUP((I12+2*G12)*0.45,-2)-25,0)</f>
        <v>$1,175</v>
      </c>
      <c r="P12" s="275" t="s">
        <v>12</v>
      </c>
      <c r="Q12" s="255" t="str">
        <f>DOLLAR(ROUNDUP((I12+2*G12)*0.35,-2)-100,0)</f>
        <v>$800</v>
      </c>
      <c r="R12" s="275" t="s">
        <v>12</v>
      </c>
      <c r="S12" s="255" t="str">
        <f>DOLLAR(I12+2*G12-O12-Q12,0)</f>
        <v>$515</v>
      </c>
      <c r="T12" s="275" t="s">
        <v>11</v>
      </c>
      <c r="U12" s="278" t="str">
        <f>G12</f>
        <v>$160</v>
      </c>
      <c r="V12" s="255" t="str">
        <f>F12</f>
        <v>x</v>
      </c>
      <c r="W12" s="277">
        <f>ABS(E12-2)</f>
        <v>34</v>
      </c>
      <c r="X12" s="247">
        <f t="shared" si="13"/>
        <v>7534</v>
      </c>
      <c r="Y12" s="257">
        <f t="shared" si="10"/>
        <v>396</v>
      </c>
      <c r="Z12" s="258">
        <f t="shared" si="11"/>
        <v>7772</v>
      </c>
      <c r="AA12" s="259">
        <f t="shared" si="12"/>
        <v>158</v>
      </c>
      <c r="AB12" s="125"/>
      <c r="AC12" s="327">
        <v>0.05</v>
      </c>
      <c r="AD12" s="328" t="s">
        <v>183</v>
      </c>
      <c r="AE12" s="131"/>
      <c r="AF12" s="132"/>
      <c r="AG12" s="117"/>
      <c r="AH12" s="325" t="s">
        <v>175</v>
      </c>
    </row>
    <row r="13" spans="1:34" ht="14.25" thickBot="1">
      <c r="A13" s="45"/>
      <c r="B13" s="45"/>
      <c r="C13" s="46"/>
      <c r="D13" s="47"/>
      <c r="E13" s="48"/>
      <c r="F13" s="49"/>
      <c r="G13" s="49"/>
      <c r="H13" s="50"/>
      <c r="I13" s="51"/>
      <c r="J13" s="48"/>
      <c r="K13" s="49"/>
      <c r="L13" s="49"/>
      <c r="M13" s="50"/>
      <c r="N13" s="52"/>
      <c r="O13" s="48"/>
      <c r="P13" s="50"/>
      <c r="Q13" s="49"/>
      <c r="R13" s="50"/>
      <c r="S13" s="49"/>
      <c r="T13" s="50"/>
      <c r="U13" s="48"/>
      <c r="V13" s="49"/>
      <c r="W13" s="52"/>
      <c r="X13" s="53"/>
      <c r="Y13" s="54"/>
      <c r="Z13" s="55"/>
      <c r="AA13" s="56"/>
      <c r="AB13" s="125"/>
      <c r="AC13" s="327">
        <v>0.02</v>
      </c>
      <c r="AD13" s="328" t="s">
        <v>184</v>
      </c>
      <c r="AE13" s="131"/>
      <c r="AF13" s="132"/>
      <c r="AG13" s="117"/>
      <c r="AH13" s="325" t="s">
        <v>185</v>
      </c>
    </row>
    <row r="14" spans="3:34" ht="20.25" thickBot="1">
      <c r="C14" s="332" t="s">
        <v>213</v>
      </c>
      <c r="D14" s="5"/>
      <c r="E14" s="5"/>
      <c r="F14" s="5"/>
      <c r="G14" s="5"/>
      <c r="H14" s="5"/>
      <c r="I14" s="310"/>
      <c r="J14" s="5"/>
      <c r="K14" s="5"/>
      <c r="L14" s="5"/>
      <c r="M14" s="5"/>
      <c r="N14" s="311"/>
      <c r="O14" s="312"/>
      <c r="P14" s="313"/>
      <c r="Q14" s="12" t="s">
        <v>49</v>
      </c>
      <c r="R14" s="313"/>
      <c r="S14" s="394">
        <f>$S$2</f>
        <v>7.45</v>
      </c>
      <c r="T14" s="394"/>
      <c r="U14" s="394"/>
      <c r="V14" s="5"/>
      <c r="W14" s="5"/>
      <c r="X14" s="13">
        <f>$X$2</f>
        <v>0.05</v>
      </c>
      <c r="Y14" s="13"/>
      <c r="Z14" s="13">
        <f>$Z$2</f>
        <v>0.02</v>
      </c>
      <c r="AA14" s="14"/>
      <c r="AB14" s="125"/>
      <c r="AC14" s="130"/>
      <c r="AD14" s="129"/>
      <c r="AE14" s="129"/>
      <c r="AF14" s="129"/>
      <c r="AG14" s="117"/>
      <c r="AH14" s="325"/>
    </row>
    <row r="15" spans="1:34" ht="13.5">
      <c r="A15" s="3" t="s">
        <v>26</v>
      </c>
      <c r="B15" s="4"/>
      <c r="C15" s="314" t="s">
        <v>97</v>
      </c>
      <c r="D15" s="315" t="s">
        <v>0</v>
      </c>
      <c r="E15" s="316">
        <v>0.7</v>
      </c>
      <c r="F15" s="317"/>
      <c r="G15" s="512" t="s">
        <v>50</v>
      </c>
      <c r="H15" s="512"/>
      <c r="I15" s="513"/>
      <c r="J15" s="316">
        <v>0.5</v>
      </c>
      <c r="K15" s="318"/>
      <c r="L15" s="514" t="s">
        <v>51</v>
      </c>
      <c r="M15" s="514"/>
      <c r="N15" s="515"/>
      <c r="O15" s="395" t="s">
        <v>130</v>
      </c>
      <c r="P15" s="396"/>
      <c r="Q15" s="396"/>
      <c r="R15" s="396"/>
      <c r="S15" s="396"/>
      <c r="T15" s="396"/>
      <c r="U15" s="396"/>
      <c r="V15" s="396"/>
      <c r="W15" s="397"/>
      <c r="X15" s="382" t="str">
        <f>$X$3</f>
        <v>Full Payment Plans</v>
      </c>
      <c r="Y15" s="383"/>
      <c r="Z15" s="383"/>
      <c r="AA15" s="384"/>
      <c r="AB15" s="133"/>
      <c r="AC15" s="401" t="s">
        <v>139</v>
      </c>
      <c r="AD15" s="402"/>
      <c r="AE15" s="402"/>
      <c r="AF15" s="403"/>
      <c r="AG15" s="117"/>
      <c r="AH15" s="325"/>
    </row>
    <row r="16" spans="1:34" ht="22.5">
      <c r="A16" s="15" t="s">
        <v>27</v>
      </c>
      <c r="B16" s="4"/>
      <c r="C16" s="23" t="s">
        <v>1</v>
      </c>
      <c r="D16" s="24" t="s">
        <v>2</v>
      </c>
      <c r="E16" s="25" t="s">
        <v>54</v>
      </c>
      <c r="F16" s="26"/>
      <c r="G16" s="26"/>
      <c r="H16" s="26"/>
      <c r="I16" s="27" t="s">
        <v>3</v>
      </c>
      <c r="J16" s="25" t="s">
        <v>55</v>
      </c>
      <c r="K16" s="26"/>
      <c r="L16" s="26"/>
      <c r="M16" s="26"/>
      <c r="N16" s="28" t="s">
        <v>3</v>
      </c>
      <c r="O16" s="398"/>
      <c r="P16" s="399"/>
      <c r="Q16" s="399"/>
      <c r="R16" s="399"/>
      <c r="S16" s="399"/>
      <c r="T16" s="399"/>
      <c r="U16" s="399"/>
      <c r="V16" s="399"/>
      <c r="W16" s="400"/>
      <c r="X16" s="32" t="s">
        <v>62</v>
      </c>
      <c r="Y16" s="33" t="s">
        <v>57</v>
      </c>
      <c r="Z16" s="34" t="s">
        <v>58</v>
      </c>
      <c r="AA16" s="35" t="s">
        <v>57</v>
      </c>
      <c r="AB16" s="134"/>
      <c r="AC16" s="404"/>
      <c r="AD16" s="405"/>
      <c r="AE16" s="405"/>
      <c r="AF16" s="406"/>
      <c r="AG16" s="117"/>
      <c r="AH16" s="325"/>
    </row>
    <row r="17" spans="1:34" ht="13.5" customHeight="1">
      <c r="A17" s="21" t="s">
        <v>34</v>
      </c>
      <c r="B17" s="22"/>
      <c r="C17" s="306" t="str">
        <f>AF18</f>
        <v>1</v>
      </c>
      <c r="D17" s="287">
        <f>ROUNDDOWN($S$2*AC18+AE18,-2)+30</f>
        <v>3030</v>
      </c>
      <c r="E17" s="307">
        <f>AD18</f>
        <v>6</v>
      </c>
      <c r="F17" s="211" t="s">
        <v>10</v>
      </c>
      <c r="G17" s="212" t="str">
        <f aca="true" t="shared" si="14" ref="G17:G24">DOLLAR(ROUNDUP(+INT(D17*($E$15)/E17),-1),0)</f>
        <v>$360</v>
      </c>
      <c r="H17" s="213" t="s">
        <v>11</v>
      </c>
      <c r="I17" s="214" t="str">
        <f aca="true" t="shared" si="15" ref="I17:I24">DOLLAR(D17-(E17*G17),0)</f>
        <v>$870</v>
      </c>
      <c r="J17" s="210">
        <f aca="true" t="shared" si="16" ref="J17:J24">E17</f>
        <v>6</v>
      </c>
      <c r="K17" s="211" t="s">
        <v>10</v>
      </c>
      <c r="L17" s="212" t="str">
        <f aca="true" t="shared" si="17" ref="L17:L24">DOLLAR(ROUNDUP(+INT(D17*($J$15)/E17),-1),0)</f>
        <v>$260</v>
      </c>
      <c r="M17" s="213" t="s">
        <v>11</v>
      </c>
      <c r="N17" s="215" t="str">
        <f aca="true" t="shared" si="18" ref="N17:N24">DOLLAR($D17-(J17*L17),0)</f>
        <v>$1,470</v>
      </c>
      <c r="O17" s="506" t="s">
        <v>63</v>
      </c>
      <c r="P17" s="507"/>
      <c r="Q17" s="507"/>
      <c r="R17" s="507"/>
      <c r="S17" s="507"/>
      <c r="T17" s="507"/>
      <c r="U17" s="507"/>
      <c r="V17" s="507"/>
      <c r="W17" s="508"/>
      <c r="X17" s="209">
        <f>$D17-ROUNDDOWN($D17*$X$2,0)</f>
        <v>2879</v>
      </c>
      <c r="Y17" s="217">
        <f>D17-X17</f>
        <v>151</v>
      </c>
      <c r="Z17" s="218">
        <f aca="true" t="shared" si="19" ref="Z17:Z26">$D17-ROUNDDOWN($D17*$Z$2,0)</f>
        <v>2970</v>
      </c>
      <c r="AA17" s="261">
        <f>D17-Z17</f>
        <v>60</v>
      </c>
      <c r="AB17" s="135"/>
      <c r="AC17" s="136" t="s">
        <v>138</v>
      </c>
      <c r="AD17" s="180" t="s">
        <v>140</v>
      </c>
      <c r="AE17" s="137" t="s">
        <v>117</v>
      </c>
      <c r="AF17" s="162" t="s">
        <v>136</v>
      </c>
      <c r="AG17" s="117"/>
      <c r="AH17" s="325"/>
    </row>
    <row r="18" spans="1:34" ht="13.5" customHeight="1">
      <c r="A18" s="36" t="s">
        <v>35</v>
      </c>
      <c r="B18" s="37"/>
      <c r="C18" s="289" t="str">
        <f>AF19</f>
        <v>2</v>
      </c>
      <c r="D18" s="290">
        <f aca="true" t="shared" si="20" ref="D18:D26">ROUNDDOWN($S$2*AC19+AE19,-2)+30</f>
        <v>3030</v>
      </c>
      <c r="E18" s="308">
        <f>AD19</f>
        <v>15</v>
      </c>
      <c r="F18" s="265" t="s">
        <v>10</v>
      </c>
      <c r="G18" s="266" t="str">
        <f t="shared" si="14"/>
        <v>$150</v>
      </c>
      <c r="H18" s="267" t="s">
        <v>11</v>
      </c>
      <c r="I18" s="268" t="str">
        <f t="shared" si="15"/>
        <v>$780</v>
      </c>
      <c r="J18" s="264">
        <f t="shared" si="16"/>
        <v>15</v>
      </c>
      <c r="K18" s="265" t="s">
        <v>10</v>
      </c>
      <c r="L18" s="266" t="str">
        <f t="shared" si="17"/>
        <v>$110</v>
      </c>
      <c r="M18" s="267" t="s">
        <v>11</v>
      </c>
      <c r="N18" s="269" t="str">
        <f t="shared" si="18"/>
        <v>$1,380</v>
      </c>
      <c r="O18" s="497" t="s">
        <v>64</v>
      </c>
      <c r="P18" s="498"/>
      <c r="Q18" s="498"/>
      <c r="R18" s="498"/>
      <c r="S18" s="498"/>
      <c r="T18" s="498"/>
      <c r="U18" s="498"/>
      <c r="V18" s="498"/>
      <c r="W18" s="499"/>
      <c r="X18" s="221">
        <f aca="true" t="shared" si="21" ref="X18:X26">$D18-ROUNDDOWN($D18*$X$2,0)</f>
        <v>2879</v>
      </c>
      <c r="Y18" s="230">
        <f aca="true" t="shared" si="22" ref="Y18:Y26">D18-X18</f>
        <v>151</v>
      </c>
      <c r="Z18" s="231">
        <f t="shared" si="19"/>
        <v>2970</v>
      </c>
      <c r="AA18" s="271">
        <f aca="true" t="shared" si="23" ref="AA18:AA26">D18-Z18</f>
        <v>60</v>
      </c>
      <c r="AB18" s="138"/>
      <c r="AC18" s="181">
        <v>400</v>
      </c>
      <c r="AD18" s="181">
        <v>6</v>
      </c>
      <c r="AE18" s="159">
        <v>80</v>
      </c>
      <c r="AF18" s="177" t="s">
        <v>63</v>
      </c>
      <c r="AG18" s="117"/>
      <c r="AH18" s="325" t="s">
        <v>166</v>
      </c>
    </row>
    <row r="19" spans="1:34" ht="13.5" customHeight="1">
      <c r="A19" s="36" t="s">
        <v>36</v>
      </c>
      <c r="B19" s="37"/>
      <c r="C19" s="289" t="str">
        <f aca="true" t="shared" si="24" ref="C19:C26">AF20</f>
        <v>3</v>
      </c>
      <c r="D19" s="290">
        <f t="shared" si="20"/>
        <v>3030</v>
      </c>
      <c r="E19" s="308">
        <f aca="true" t="shared" si="25" ref="E19:E26">AD20</f>
        <v>12</v>
      </c>
      <c r="F19" s="223" t="s">
        <v>10</v>
      </c>
      <c r="G19" s="224" t="str">
        <f t="shared" si="14"/>
        <v>$180</v>
      </c>
      <c r="H19" s="225" t="s">
        <v>11</v>
      </c>
      <c r="I19" s="282" t="str">
        <f t="shared" si="15"/>
        <v>$870</v>
      </c>
      <c r="J19" s="264">
        <f t="shared" si="16"/>
        <v>12</v>
      </c>
      <c r="K19" s="223" t="s">
        <v>10</v>
      </c>
      <c r="L19" s="224" t="str">
        <f t="shared" si="17"/>
        <v>$130</v>
      </c>
      <c r="M19" s="225" t="s">
        <v>11</v>
      </c>
      <c r="N19" s="228" t="str">
        <f t="shared" si="18"/>
        <v>$1,470</v>
      </c>
      <c r="O19" s="500" t="s">
        <v>65</v>
      </c>
      <c r="P19" s="501"/>
      <c r="Q19" s="501"/>
      <c r="R19" s="501"/>
      <c r="S19" s="501"/>
      <c r="T19" s="501"/>
      <c r="U19" s="501"/>
      <c r="V19" s="501"/>
      <c r="W19" s="502"/>
      <c r="X19" s="221">
        <f t="shared" si="21"/>
        <v>2879</v>
      </c>
      <c r="Y19" s="230">
        <f t="shared" si="22"/>
        <v>151</v>
      </c>
      <c r="Z19" s="231">
        <f t="shared" si="19"/>
        <v>2970</v>
      </c>
      <c r="AA19" s="271">
        <f t="shared" si="23"/>
        <v>60</v>
      </c>
      <c r="AB19" s="138"/>
      <c r="AC19" s="194">
        <v>400</v>
      </c>
      <c r="AD19" s="182">
        <v>15</v>
      </c>
      <c r="AE19" s="160">
        <v>80</v>
      </c>
      <c r="AF19" s="178" t="s">
        <v>64</v>
      </c>
      <c r="AG19" s="117"/>
      <c r="AH19" s="325"/>
    </row>
    <row r="20" spans="1:34" ht="13.5" customHeight="1">
      <c r="A20" s="36" t="s">
        <v>47</v>
      </c>
      <c r="B20" s="37"/>
      <c r="C20" s="289" t="str">
        <f t="shared" si="24"/>
        <v>4</v>
      </c>
      <c r="D20" s="290">
        <f t="shared" si="20"/>
        <v>3030</v>
      </c>
      <c r="E20" s="308">
        <f t="shared" si="25"/>
        <v>12</v>
      </c>
      <c r="F20" s="265" t="s">
        <v>10</v>
      </c>
      <c r="G20" s="266" t="str">
        <f>DOLLAR(ROUNDUP(+INT(D20*($E$15)/E20),-1),0)</f>
        <v>$180</v>
      </c>
      <c r="H20" s="267" t="s">
        <v>11</v>
      </c>
      <c r="I20" s="268" t="str">
        <f>DOLLAR(D20-(E20*G20),0)</f>
        <v>$870</v>
      </c>
      <c r="J20" s="264">
        <f>E20</f>
        <v>12</v>
      </c>
      <c r="K20" s="265" t="s">
        <v>10</v>
      </c>
      <c r="L20" s="266" t="str">
        <f>DOLLAR(ROUNDUP(+INT(D20*($J$15)/E20),-1),0)</f>
        <v>$130</v>
      </c>
      <c r="M20" s="267" t="s">
        <v>11</v>
      </c>
      <c r="N20" s="269" t="str">
        <f>DOLLAR($D20-(J20*L20),0)</f>
        <v>$1,470</v>
      </c>
      <c r="O20" s="497" t="s">
        <v>66</v>
      </c>
      <c r="P20" s="498"/>
      <c r="Q20" s="498"/>
      <c r="R20" s="498"/>
      <c r="S20" s="498"/>
      <c r="T20" s="498"/>
      <c r="U20" s="498"/>
      <c r="V20" s="498"/>
      <c r="W20" s="499"/>
      <c r="X20" s="221">
        <f t="shared" si="21"/>
        <v>2879</v>
      </c>
      <c r="Y20" s="230">
        <f t="shared" si="22"/>
        <v>151</v>
      </c>
      <c r="Z20" s="231">
        <f t="shared" si="19"/>
        <v>2970</v>
      </c>
      <c r="AA20" s="271">
        <f t="shared" si="23"/>
        <v>60</v>
      </c>
      <c r="AB20" s="138"/>
      <c r="AC20" s="194">
        <v>400</v>
      </c>
      <c r="AD20" s="182">
        <v>12</v>
      </c>
      <c r="AE20" s="160">
        <v>80</v>
      </c>
      <c r="AF20" s="178" t="s">
        <v>65</v>
      </c>
      <c r="AG20" s="117"/>
      <c r="AH20" s="325"/>
    </row>
    <row r="21" spans="1:34" ht="13.5" customHeight="1">
      <c r="A21" s="36" t="s">
        <v>37</v>
      </c>
      <c r="B21" s="37"/>
      <c r="C21" s="289" t="str">
        <f t="shared" si="24"/>
        <v>5</v>
      </c>
      <c r="D21" s="290">
        <f t="shared" si="20"/>
        <v>3030</v>
      </c>
      <c r="E21" s="308">
        <f t="shared" si="25"/>
        <v>12</v>
      </c>
      <c r="F21" s="265" t="s">
        <v>10</v>
      </c>
      <c r="G21" s="266" t="str">
        <f>DOLLAR(ROUNDUP(+INT(D21*($E$15)/E21),-1),0)</f>
        <v>$180</v>
      </c>
      <c r="H21" s="267" t="s">
        <v>11</v>
      </c>
      <c r="I21" s="268" t="str">
        <f>DOLLAR(D21-(E21*G21),0)</f>
        <v>$870</v>
      </c>
      <c r="J21" s="264">
        <f>E21</f>
        <v>12</v>
      </c>
      <c r="K21" s="265" t="s">
        <v>10</v>
      </c>
      <c r="L21" s="266" t="str">
        <f>DOLLAR(ROUNDUP(+INT(D21*($J$15)/E21),-1),0)</f>
        <v>$130</v>
      </c>
      <c r="M21" s="267" t="s">
        <v>11</v>
      </c>
      <c r="N21" s="269" t="str">
        <f>DOLLAR($D21-(J21*L21),0)</f>
        <v>$1,470</v>
      </c>
      <c r="O21" s="497" t="s">
        <v>67</v>
      </c>
      <c r="P21" s="498"/>
      <c r="Q21" s="498"/>
      <c r="R21" s="498"/>
      <c r="S21" s="498"/>
      <c r="T21" s="498"/>
      <c r="U21" s="498"/>
      <c r="V21" s="498"/>
      <c r="W21" s="499"/>
      <c r="X21" s="221">
        <f t="shared" si="21"/>
        <v>2879</v>
      </c>
      <c r="Y21" s="230">
        <f t="shared" si="22"/>
        <v>151</v>
      </c>
      <c r="Z21" s="231">
        <f t="shared" si="19"/>
        <v>2970</v>
      </c>
      <c r="AA21" s="271">
        <f t="shared" si="23"/>
        <v>60</v>
      </c>
      <c r="AB21" s="138"/>
      <c r="AC21" s="194">
        <v>400</v>
      </c>
      <c r="AD21" s="182">
        <v>12</v>
      </c>
      <c r="AE21" s="160">
        <v>80</v>
      </c>
      <c r="AF21" s="178" t="s">
        <v>66</v>
      </c>
      <c r="AG21" s="117"/>
      <c r="AH21" s="325"/>
    </row>
    <row r="22" spans="1:34" ht="13.5" customHeight="1">
      <c r="A22" s="58" t="s">
        <v>38</v>
      </c>
      <c r="B22" s="37"/>
      <c r="C22" s="289" t="str">
        <f t="shared" si="24"/>
        <v>6</v>
      </c>
      <c r="D22" s="290">
        <f t="shared" si="20"/>
        <v>3030</v>
      </c>
      <c r="E22" s="308">
        <f t="shared" si="25"/>
        <v>12</v>
      </c>
      <c r="F22" s="265" t="s">
        <v>10</v>
      </c>
      <c r="G22" s="266" t="str">
        <f t="shared" si="14"/>
        <v>$180</v>
      </c>
      <c r="H22" s="267" t="s">
        <v>11</v>
      </c>
      <c r="I22" s="268" t="str">
        <f t="shared" si="15"/>
        <v>$870</v>
      </c>
      <c r="J22" s="264">
        <f t="shared" si="16"/>
        <v>12</v>
      </c>
      <c r="K22" s="265" t="s">
        <v>10</v>
      </c>
      <c r="L22" s="266" t="str">
        <f t="shared" si="17"/>
        <v>$130</v>
      </c>
      <c r="M22" s="267" t="s">
        <v>11</v>
      </c>
      <c r="N22" s="269" t="str">
        <f t="shared" si="18"/>
        <v>$1,470</v>
      </c>
      <c r="O22" s="497" t="s">
        <v>68</v>
      </c>
      <c r="P22" s="498"/>
      <c r="Q22" s="498"/>
      <c r="R22" s="498"/>
      <c r="S22" s="498"/>
      <c r="T22" s="498"/>
      <c r="U22" s="498"/>
      <c r="V22" s="498"/>
      <c r="W22" s="499"/>
      <c r="X22" s="221">
        <f t="shared" si="21"/>
        <v>2879</v>
      </c>
      <c r="Y22" s="230">
        <f t="shared" si="22"/>
        <v>151</v>
      </c>
      <c r="Z22" s="231">
        <f t="shared" si="19"/>
        <v>2970</v>
      </c>
      <c r="AA22" s="271">
        <f t="shared" si="23"/>
        <v>60</v>
      </c>
      <c r="AB22" s="138"/>
      <c r="AC22" s="194">
        <v>400</v>
      </c>
      <c r="AD22" s="182">
        <v>12</v>
      </c>
      <c r="AE22" s="160">
        <v>80</v>
      </c>
      <c r="AF22" s="178" t="s">
        <v>67</v>
      </c>
      <c r="AG22" s="117"/>
      <c r="AH22" s="325"/>
    </row>
    <row r="23" spans="1:34" ht="13.5" customHeight="1">
      <c r="A23" s="44"/>
      <c r="B23" s="44"/>
      <c r="C23" s="289" t="str">
        <f t="shared" si="24"/>
        <v>7</v>
      </c>
      <c r="D23" s="290">
        <f t="shared" si="20"/>
        <v>3030</v>
      </c>
      <c r="E23" s="308">
        <f t="shared" si="25"/>
        <v>12</v>
      </c>
      <c r="F23" s="265" t="s">
        <v>10</v>
      </c>
      <c r="G23" s="266" t="str">
        <f t="shared" si="14"/>
        <v>$180</v>
      </c>
      <c r="H23" s="267" t="s">
        <v>11</v>
      </c>
      <c r="I23" s="268" t="str">
        <f t="shared" si="15"/>
        <v>$870</v>
      </c>
      <c r="J23" s="264">
        <f t="shared" si="16"/>
        <v>12</v>
      </c>
      <c r="K23" s="265" t="s">
        <v>10</v>
      </c>
      <c r="L23" s="266" t="str">
        <f t="shared" si="17"/>
        <v>$130</v>
      </c>
      <c r="M23" s="267" t="s">
        <v>11</v>
      </c>
      <c r="N23" s="269" t="str">
        <f t="shared" si="18"/>
        <v>$1,470</v>
      </c>
      <c r="O23" s="497" t="s">
        <v>69</v>
      </c>
      <c r="P23" s="498"/>
      <c r="Q23" s="498"/>
      <c r="R23" s="498"/>
      <c r="S23" s="498"/>
      <c r="T23" s="498"/>
      <c r="U23" s="498"/>
      <c r="V23" s="498"/>
      <c r="W23" s="499"/>
      <c r="X23" s="221">
        <f t="shared" si="21"/>
        <v>2879</v>
      </c>
      <c r="Y23" s="230">
        <f t="shared" si="22"/>
        <v>151</v>
      </c>
      <c r="Z23" s="231">
        <f t="shared" si="19"/>
        <v>2970</v>
      </c>
      <c r="AA23" s="271">
        <f t="shared" si="23"/>
        <v>60</v>
      </c>
      <c r="AB23" s="138"/>
      <c r="AC23" s="194">
        <v>400</v>
      </c>
      <c r="AD23" s="182">
        <v>12</v>
      </c>
      <c r="AE23" s="160">
        <v>80</v>
      </c>
      <c r="AF23" s="178" t="s">
        <v>68</v>
      </c>
      <c r="AG23" s="117"/>
      <c r="AH23" s="325"/>
    </row>
    <row r="24" spans="1:34" ht="13.5" customHeight="1">
      <c r="A24" s="44"/>
      <c r="B24" s="44"/>
      <c r="C24" s="289" t="str">
        <f t="shared" si="24"/>
        <v>8</v>
      </c>
      <c r="D24" s="290">
        <f t="shared" si="20"/>
        <v>3030</v>
      </c>
      <c r="E24" s="308">
        <f t="shared" si="25"/>
        <v>12</v>
      </c>
      <c r="F24" s="265" t="s">
        <v>10</v>
      </c>
      <c r="G24" s="266" t="str">
        <f t="shared" si="14"/>
        <v>$180</v>
      </c>
      <c r="H24" s="267" t="s">
        <v>11</v>
      </c>
      <c r="I24" s="268" t="str">
        <f t="shared" si="15"/>
        <v>$870</v>
      </c>
      <c r="J24" s="264">
        <f t="shared" si="16"/>
        <v>12</v>
      </c>
      <c r="K24" s="265" t="s">
        <v>10</v>
      </c>
      <c r="L24" s="266" t="str">
        <f t="shared" si="17"/>
        <v>$130</v>
      </c>
      <c r="M24" s="267" t="s">
        <v>11</v>
      </c>
      <c r="N24" s="269" t="str">
        <f t="shared" si="18"/>
        <v>$1,470</v>
      </c>
      <c r="O24" s="497" t="s">
        <v>70</v>
      </c>
      <c r="P24" s="498"/>
      <c r="Q24" s="498"/>
      <c r="R24" s="498"/>
      <c r="S24" s="498"/>
      <c r="T24" s="498"/>
      <c r="U24" s="498"/>
      <c r="V24" s="498"/>
      <c r="W24" s="499"/>
      <c r="X24" s="221">
        <f t="shared" si="21"/>
        <v>2879</v>
      </c>
      <c r="Y24" s="230">
        <f t="shared" si="22"/>
        <v>151</v>
      </c>
      <c r="Z24" s="231">
        <f t="shared" si="19"/>
        <v>2970</v>
      </c>
      <c r="AA24" s="271">
        <f t="shared" si="23"/>
        <v>60</v>
      </c>
      <c r="AB24" s="138"/>
      <c r="AC24" s="194">
        <v>400</v>
      </c>
      <c r="AD24" s="182">
        <v>12</v>
      </c>
      <c r="AE24" s="160">
        <v>80</v>
      </c>
      <c r="AF24" s="178" t="s">
        <v>69</v>
      </c>
      <c r="AG24" s="117"/>
      <c r="AH24" s="325"/>
    </row>
    <row r="25" spans="3:34" ht="13.5" customHeight="1">
      <c r="C25" s="289" t="str">
        <f t="shared" si="24"/>
        <v>9</v>
      </c>
      <c r="D25" s="290">
        <f t="shared" si="20"/>
        <v>3030</v>
      </c>
      <c r="E25" s="308">
        <f t="shared" si="25"/>
        <v>12</v>
      </c>
      <c r="F25" s="265" t="s">
        <v>10</v>
      </c>
      <c r="G25" s="266" t="str">
        <f>DOLLAR(ROUNDUP(+INT(D25*($E$15)/E25),-1),0)</f>
        <v>$180</v>
      </c>
      <c r="H25" s="267" t="s">
        <v>11</v>
      </c>
      <c r="I25" s="268" t="str">
        <f>DOLLAR(D25-(E25*G25),0)</f>
        <v>$870</v>
      </c>
      <c r="J25" s="264">
        <f>E25</f>
        <v>12</v>
      </c>
      <c r="K25" s="265" t="s">
        <v>10</v>
      </c>
      <c r="L25" s="266" t="str">
        <f>DOLLAR(ROUNDUP(+INT(D25*($J$15)/E25),-1),0)</f>
        <v>$130</v>
      </c>
      <c r="M25" s="267" t="s">
        <v>11</v>
      </c>
      <c r="N25" s="269" t="str">
        <f>DOLLAR($D25-(J25*L25),0)</f>
        <v>$1,470</v>
      </c>
      <c r="O25" s="497" t="s">
        <v>71</v>
      </c>
      <c r="P25" s="498"/>
      <c r="Q25" s="498"/>
      <c r="R25" s="498"/>
      <c r="S25" s="498"/>
      <c r="T25" s="498"/>
      <c r="U25" s="498"/>
      <c r="V25" s="498"/>
      <c r="W25" s="499"/>
      <c r="X25" s="221">
        <f t="shared" si="21"/>
        <v>2879</v>
      </c>
      <c r="Y25" s="230">
        <f t="shared" si="22"/>
        <v>151</v>
      </c>
      <c r="Z25" s="231">
        <f t="shared" si="19"/>
        <v>2970</v>
      </c>
      <c r="AA25" s="271">
        <f t="shared" si="23"/>
        <v>60</v>
      </c>
      <c r="AB25" s="138"/>
      <c r="AC25" s="194">
        <v>400</v>
      </c>
      <c r="AD25" s="182">
        <v>12</v>
      </c>
      <c r="AE25" s="160">
        <v>80</v>
      </c>
      <c r="AF25" s="178" t="s">
        <v>70</v>
      </c>
      <c r="AG25" s="117"/>
      <c r="AH25" s="325"/>
    </row>
    <row r="26" spans="3:34" ht="13.5" customHeight="1" thickBot="1">
      <c r="C26" s="292" t="str">
        <f t="shared" si="24"/>
        <v>10</v>
      </c>
      <c r="D26" s="293">
        <f t="shared" si="20"/>
        <v>3030</v>
      </c>
      <c r="E26" s="309">
        <f t="shared" si="25"/>
        <v>12</v>
      </c>
      <c r="F26" s="249" t="s">
        <v>10</v>
      </c>
      <c r="G26" s="295" t="str">
        <f>DOLLAR(ROUNDUP(+INT(D26*($E$15)/E26),-1),0)</f>
        <v>$180</v>
      </c>
      <c r="H26" s="251" t="s">
        <v>11</v>
      </c>
      <c r="I26" s="296" t="str">
        <f>DOLLAR(D26-(E26*G26),0)</f>
        <v>$870</v>
      </c>
      <c r="J26" s="248">
        <f>E26</f>
        <v>12</v>
      </c>
      <c r="K26" s="249" t="s">
        <v>10</v>
      </c>
      <c r="L26" s="295" t="str">
        <f>DOLLAR(ROUNDUP(+INT(D26*($J$15)/E26),-1),0)</f>
        <v>$130</v>
      </c>
      <c r="M26" s="251" t="s">
        <v>11</v>
      </c>
      <c r="N26" s="254" t="str">
        <f>DOLLAR($D26-(J26*L26),0)</f>
        <v>$1,470</v>
      </c>
      <c r="O26" s="503" t="s">
        <v>72</v>
      </c>
      <c r="P26" s="504"/>
      <c r="Q26" s="504"/>
      <c r="R26" s="504"/>
      <c r="S26" s="504"/>
      <c r="T26" s="504"/>
      <c r="U26" s="504"/>
      <c r="V26" s="504"/>
      <c r="W26" s="505"/>
      <c r="X26" s="247">
        <f t="shared" si="21"/>
        <v>2879</v>
      </c>
      <c r="Y26" s="257">
        <f t="shared" si="22"/>
        <v>151</v>
      </c>
      <c r="Z26" s="258">
        <f t="shared" si="19"/>
        <v>2970</v>
      </c>
      <c r="AA26" s="279">
        <f t="shared" si="23"/>
        <v>60</v>
      </c>
      <c r="AB26" s="138"/>
      <c r="AC26" s="194">
        <v>400</v>
      </c>
      <c r="AD26" s="182">
        <v>12</v>
      </c>
      <c r="AE26" s="160">
        <v>80</v>
      </c>
      <c r="AF26" s="178" t="s">
        <v>71</v>
      </c>
      <c r="AG26" s="117"/>
      <c r="AH26" s="325"/>
    </row>
    <row r="27" spans="3:34" ht="14.25" thickBot="1">
      <c r="C27" s="46"/>
      <c r="D27" s="47"/>
      <c r="E27" s="48"/>
      <c r="F27" s="49"/>
      <c r="G27" s="49"/>
      <c r="H27" s="50"/>
      <c r="I27" s="51"/>
      <c r="J27" s="48"/>
      <c r="K27" s="49"/>
      <c r="L27" s="49"/>
      <c r="M27" s="50"/>
      <c r="N27" s="52"/>
      <c r="O27" s="48"/>
      <c r="P27" s="50"/>
      <c r="Q27" s="49"/>
      <c r="R27" s="50"/>
      <c r="S27" s="49"/>
      <c r="T27" s="50"/>
      <c r="U27" s="48"/>
      <c r="V27" s="49"/>
      <c r="W27" s="52"/>
      <c r="X27" s="40"/>
      <c r="Y27" s="39"/>
      <c r="Z27" s="59"/>
      <c r="AA27" s="56"/>
      <c r="AB27" s="138"/>
      <c r="AC27" s="205">
        <v>400</v>
      </c>
      <c r="AD27" s="182">
        <v>12</v>
      </c>
      <c r="AE27" s="161">
        <v>80</v>
      </c>
      <c r="AF27" s="179" t="s">
        <v>72</v>
      </c>
      <c r="AG27" s="117"/>
      <c r="AH27" s="325"/>
    </row>
    <row r="28" spans="1:34" ht="21" thickBot="1">
      <c r="A28" s="3" t="s">
        <v>39</v>
      </c>
      <c r="B28" s="54"/>
      <c r="C28" s="332" t="s">
        <v>214</v>
      </c>
      <c r="D28" s="60"/>
      <c r="E28" s="60"/>
      <c r="F28" s="60"/>
      <c r="G28" s="60"/>
      <c r="H28" s="60"/>
      <c r="I28" s="61"/>
      <c r="J28" s="60"/>
      <c r="K28" s="60"/>
      <c r="L28" s="60"/>
      <c r="M28" s="60"/>
      <c r="N28" s="311"/>
      <c r="O28" s="312"/>
      <c r="P28" s="313"/>
      <c r="Q28" s="12" t="s">
        <v>49</v>
      </c>
      <c r="R28" s="313"/>
      <c r="S28" s="394">
        <f>$S$2</f>
        <v>7.45</v>
      </c>
      <c r="T28" s="394"/>
      <c r="U28" s="394"/>
      <c r="V28" s="5"/>
      <c r="W28" s="5"/>
      <c r="X28" s="13">
        <f>$X$2</f>
        <v>0.05</v>
      </c>
      <c r="Y28" s="13"/>
      <c r="Z28" s="13">
        <f>$Z$2</f>
        <v>0.02</v>
      </c>
      <c r="AA28" s="14"/>
      <c r="AB28" s="139"/>
      <c r="AC28" s="116" t="s">
        <v>122</v>
      </c>
      <c r="AD28" s="129"/>
      <c r="AE28" s="129"/>
      <c r="AF28" s="129"/>
      <c r="AG28" s="117"/>
      <c r="AH28" s="325"/>
    </row>
    <row r="29" spans="1:34" ht="15.75">
      <c r="A29" s="15" t="s">
        <v>40</v>
      </c>
      <c r="B29" s="4"/>
      <c r="C29" s="314" t="s">
        <v>97</v>
      </c>
      <c r="D29" s="315" t="s">
        <v>0</v>
      </c>
      <c r="E29" s="316">
        <v>0.7</v>
      </c>
      <c r="F29" s="317"/>
      <c r="G29" s="512" t="s">
        <v>50</v>
      </c>
      <c r="H29" s="512"/>
      <c r="I29" s="513"/>
      <c r="J29" s="316">
        <v>0.5</v>
      </c>
      <c r="K29" s="318"/>
      <c r="L29" s="514" t="s">
        <v>51</v>
      </c>
      <c r="M29" s="514"/>
      <c r="N29" s="515"/>
      <c r="O29" s="395" t="s">
        <v>52</v>
      </c>
      <c r="P29" s="396"/>
      <c r="Q29" s="396"/>
      <c r="R29" s="396"/>
      <c r="S29" s="396"/>
      <c r="T29" s="396"/>
      <c r="U29" s="396"/>
      <c r="V29" s="396"/>
      <c r="W29" s="397"/>
      <c r="X29" s="382" t="str">
        <f>$X$3</f>
        <v>Full Payment Plans</v>
      </c>
      <c r="Y29" s="383"/>
      <c r="Z29" s="383"/>
      <c r="AA29" s="384"/>
      <c r="AB29" s="133"/>
      <c r="AC29" s="407">
        <v>400</v>
      </c>
      <c r="AD29" s="408"/>
      <c r="AE29" s="117"/>
      <c r="AF29" s="117"/>
      <c r="AG29" s="117"/>
      <c r="AH29" s="325" t="s">
        <v>167</v>
      </c>
    </row>
    <row r="30" spans="1:34" ht="22.5">
      <c r="A30" s="21" t="s">
        <v>41</v>
      </c>
      <c r="B30" s="4"/>
      <c r="C30" s="23" t="s">
        <v>1</v>
      </c>
      <c r="D30" s="24" t="s">
        <v>2</v>
      </c>
      <c r="E30" s="25" t="s">
        <v>54</v>
      </c>
      <c r="F30" s="26"/>
      <c r="G30" s="26"/>
      <c r="H30" s="26"/>
      <c r="I30" s="27" t="s">
        <v>3</v>
      </c>
      <c r="J30" s="25" t="s">
        <v>55</v>
      </c>
      <c r="K30" s="26"/>
      <c r="L30" s="26"/>
      <c r="M30" s="26"/>
      <c r="N30" s="28" t="s">
        <v>3</v>
      </c>
      <c r="O30" s="29" t="s">
        <v>4</v>
      </c>
      <c r="P30" s="30"/>
      <c r="Q30" s="30" t="s">
        <v>5</v>
      </c>
      <c r="R30" s="30"/>
      <c r="S30" s="30" t="s">
        <v>6</v>
      </c>
      <c r="T30" s="30"/>
      <c r="U30" s="30" t="s">
        <v>7</v>
      </c>
      <c r="V30" s="30"/>
      <c r="W30" s="31" t="s">
        <v>8</v>
      </c>
      <c r="X30" s="32" t="s">
        <v>62</v>
      </c>
      <c r="Y30" s="33" t="s">
        <v>57</v>
      </c>
      <c r="Z30" s="34" t="s">
        <v>58</v>
      </c>
      <c r="AA30" s="35" t="s">
        <v>57</v>
      </c>
      <c r="AB30" s="134"/>
      <c r="AC30" s="140" t="s">
        <v>129</v>
      </c>
      <c r="AD30" s="122"/>
      <c r="AE30" s="122"/>
      <c r="AF30" s="122"/>
      <c r="AG30" s="117"/>
      <c r="AH30" s="325"/>
    </row>
    <row r="31" spans="1:34" ht="13.5" customHeight="1">
      <c r="A31" s="36" t="s">
        <v>42</v>
      </c>
      <c r="B31" s="22"/>
      <c r="C31" s="208" t="s">
        <v>73</v>
      </c>
      <c r="D31" s="260">
        <f>D5-$AC$29</f>
        <v>4530</v>
      </c>
      <c r="E31" s="210">
        <v>12</v>
      </c>
      <c r="F31" s="211" t="s">
        <v>10</v>
      </c>
      <c r="G31" s="212" t="str">
        <f>DOLLAR(ROUNDUP(+INT(D31*($E$29)/E31),-1),0)</f>
        <v>$270</v>
      </c>
      <c r="H31" s="213" t="s">
        <v>11</v>
      </c>
      <c r="I31" s="214" t="str">
        <f>DOLLAR(D31-(E31*G31),0)</f>
        <v>$1,290</v>
      </c>
      <c r="J31" s="210">
        <f>E31</f>
        <v>12</v>
      </c>
      <c r="K31" s="211" t="s">
        <v>10</v>
      </c>
      <c r="L31" s="212" t="str">
        <f>DOLLAR(ROUNDUP(+INT(D31*($J$29)/E31),-1),0)</f>
        <v>$190</v>
      </c>
      <c r="M31" s="213" t="s">
        <v>11</v>
      </c>
      <c r="N31" s="215" t="str">
        <f>DOLLAR($D31-(J31*L31),0)</f>
        <v>$2,250</v>
      </c>
      <c r="O31" s="210" t="str">
        <f>DOLLAR(ROUNDUP((I31+2*G31)*0.45,-2)-25,0)</f>
        <v>$875</v>
      </c>
      <c r="P31" s="213" t="s">
        <v>12</v>
      </c>
      <c r="Q31" s="211" t="str">
        <f>DOLLAR(ROUNDUP((I31+2*G31)*0.35,-2)-75,0)</f>
        <v>$625</v>
      </c>
      <c r="R31" s="213" t="s">
        <v>12</v>
      </c>
      <c r="S31" s="211" t="str">
        <f>DOLLAR(I31+2*G31-O31-Q31,0)</f>
        <v>$330</v>
      </c>
      <c r="T31" s="213" t="s">
        <v>11</v>
      </c>
      <c r="U31" s="216" t="str">
        <f>G31</f>
        <v>$270</v>
      </c>
      <c r="V31" s="211" t="str">
        <f>F31</f>
        <v>x</v>
      </c>
      <c r="W31" s="215">
        <f>ABS(E31-2)</f>
        <v>10</v>
      </c>
      <c r="X31" s="209">
        <f>$D31-ROUNDDOWN($D31*$X$2,0)</f>
        <v>4304</v>
      </c>
      <c r="Y31" s="217">
        <f>D31-X31</f>
        <v>226</v>
      </c>
      <c r="Z31" s="209">
        <f>$D31-ROUNDDOWN($D31*$Z$2,0)</f>
        <v>4440</v>
      </c>
      <c r="AA31" s="261">
        <f>D31-Z31</f>
        <v>90</v>
      </c>
      <c r="AB31" s="135"/>
      <c r="AC31" s="130"/>
      <c r="AD31" s="122"/>
      <c r="AE31" s="122"/>
      <c r="AF31" s="122"/>
      <c r="AG31" s="117"/>
      <c r="AH31" s="325"/>
    </row>
    <row r="32" spans="1:34" ht="13.5" customHeight="1">
      <c r="A32" s="36" t="s">
        <v>43</v>
      </c>
      <c r="B32" s="37"/>
      <c r="C32" s="262" t="s">
        <v>74</v>
      </c>
      <c r="D32" s="263">
        <f>D6-$AC$29</f>
        <v>4980</v>
      </c>
      <c r="E32" s="264">
        <v>15</v>
      </c>
      <c r="F32" s="265" t="s">
        <v>10</v>
      </c>
      <c r="G32" s="266" t="str">
        <f>DOLLAR(ROUNDUP(+INT(D32*($E$29)/E32),-1),0)</f>
        <v>$240</v>
      </c>
      <c r="H32" s="267" t="s">
        <v>11</v>
      </c>
      <c r="I32" s="268" t="str">
        <f>DOLLAR(D32-(E32*G32),0)</f>
        <v>$1,380</v>
      </c>
      <c r="J32" s="264">
        <f>E32</f>
        <v>15</v>
      </c>
      <c r="K32" s="265" t="s">
        <v>10</v>
      </c>
      <c r="L32" s="266" t="str">
        <f>DOLLAR(ROUNDUP(+INT(D32*($J$29)/E32),-1),0)</f>
        <v>$170</v>
      </c>
      <c r="M32" s="267" t="s">
        <v>11</v>
      </c>
      <c r="N32" s="269" t="str">
        <f>DOLLAR($D32-(J32*L32),0)</f>
        <v>$2,430</v>
      </c>
      <c r="O32" s="264" t="str">
        <f>DOLLAR(ROUNDUP((I32+2*G32)*0.45,-2)-25,0)</f>
        <v>$875</v>
      </c>
      <c r="P32" s="267" t="s">
        <v>12</v>
      </c>
      <c r="Q32" s="265" t="str">
        <f>DOLLAR(ROUNDUP((I32+2*G32)*0.35,-2)-75,0)</f>
        <v>$625</v>
      </c>
      <c r="R32" s="267" t="s">
        <v>12</v>
      </c>
      <c r="S32" s="265" t="str">
        <f>DOLLAR(I32+2*G32-O32-Q32,0)</f>
        <v>$360</v>
      </c>
      <c r="T32" s="267" t="s">
        <v>11</v>
      </c>
      <c r="U32" s="270" t="str">
        <f>G32</f>
        <v>$240</v>
      </c>
      <c r="V32" s="265" t="str">
        <f>F32</f>
        <v>x</v>
      </c>
      <c r="W32" s="269">
        <f>ABS(E32-2)</f>
        <v>13</v>
      </c>
      <c r="X32" s="221">
        <f>$D32-ROUNDDOWN($D32*$X$2,0)</f>
        <v>4731</v>
      </c>
      <c r="Y32" s="230">
        <f>D32-X32</f>
        <v>249</v>
      </c>
      <c r="Z32" s="221">
        <f>$D32-ROUNDDOWN($D32*$Z$2,0)</f>
        <v>4881</v>
      </c>
      <c r="AA32" s="271">
        <f>D32-Z32</f>
        <v>99</v>
      </c>
      <c r="AB32" s="141"/>
      <c r="AC32" s="130"/>
      <c r="AD32" s="127"/>
      <c r="AE32" s="142"/>
      <c r="AF32" s="142"/>
      <c r="AG32" s="117"/>
      <c r="AH32" s="325"/>
    </row>
    <row r="33" spans="1:34" ht="13.5" customHeight="1">
      <c r="A33" s="36" t="s">
        <v>48</v>
      </c>
      <c r="B33" s="37"/>
      <c r="C33" s="262" t="s">
        <v>75</v>
      </c>
      <c r="D33" s="263">
        <f>D7-$AC$29</f>
        <v>5280</v>
      </c>
      <c r="E33" s="264">
        <v>18</v>
      </c>
      <c r="F33" s="265" t="s">
        <v>10</v>
      </c>
      <c r="G33" s="266" t="str">
        <f>DOLLAR(ROUNDUP(+INT(D33*($E$29)/E33),-1),0)</f>
        <v>$210</v>
      </c>
      <c r="H33" s="267" t="s">
        <v>11</v>
      </c>
      <c r="I33" s="268" t="str">
        <f>DOLLAR(D33-(E33*G33),0)</f>
        <v>$1,500</v>
      </c>
      <c r="J33" s="264">
        <f>E33</f>
        <v>18</v>
      </c>
      <c r="K33" s="265" t="s">
        <v>10</v>
      </c>
      <c r="L33" s="266" t="str">
        <f>DOLLAR(ROUNDUP(+INT(D33*($J$29)/E33),-1),0)</f>
        <v>$150</v>
      </c>
      <c r="M33" s="267" t="s">
        <v>11</v>
      </c>
      <c r="N33" s="269" t="str">
        <f>DOLLAR($D33-(J33*L33),0)</f>
        <v>$2,580</v>
      </c>
      <c r="O33" s="264" t="str">
        <f>DOLLAR(ROUNDUP((I33+2*G33)*0.45,-2)-25,0)</f>
        <v>$875</v>
      </c>
      <c r="P33" s="267" t="s">
        <v>12</v>
      </c>
      <c r="Q33" s="265" t="str">
        <f>DOLLAR(ROUNDUP((I33+2*G33)*0.35,-2)-75,0)</f>
        <v>$625</v>
      </c>
      <c r="R33" s="267" t="s">
        <v>12</v>
      </c>
      <c r="S33" s="265" t="str">
        <f>DOLLAR(I33+2*G33-O33-Q33,0)</f>
        <v>$420</v>
      </c>
      <c r="T33" s="267" t="s">
        <v>11</v>
      </c>
      <c r="U33" s="270" t="str">
        <f>G33</f>
        <v>$210</v>
      </c>
      <c r="V33" s="265" t="str">
        <f>F33</f>
        <v>x</v>
      </c>
      <c r="W33" s="269">
        <f>ABS(E33-2)</f>
        <v>16</v>
      </c>
      <c r="X33" s="221">
        <f>$D33-ROUNDDOWN($D33*$X$2,0)</f>
        <v>5016</v>
      </c>
      <c r="Y33" s="230">
        <f>D33-X33</f>
        <v>264</v>
      </c>
      <c r="Z33" s="221">
        <f>$D33-ROUNDDOWN($D33*$Z$2,0)</f>
        <v>5175</v>
      </c>
      <c r="AA33" s="271">
        <f>D33-Z33</f>
        <v>105</v>
      </c>
      <c r="AB33" s="141"/>
      <c r="AC33" s="130"/>
      <c r="AD33" s="127"/>
      <c r="AE33" s="142"/>
      <c r="AF33" s="142"/>
      <c r="AG33" s="117"/>
      <c r="AH33" s="325"/>
    </row>
    <row r="34" spans="1:34" ht="13.5" customHeight="1">
      <c r="A34" s="36" t="s">
        <v>44</v>
      </c>
      <c r="B34" s="37"/>
      <c r="C34" s="262" t="s">
        <v>76</v>
      </c>
      <c r="D34" s="263">
        <f>D8-$AC$29</f>
        <v>5680</v>
      </c>
      <c r="E34" s="264">
        <v>18</v>
      </c>
      <c r="F34" s="265" t="s">
        <v>10</v>
      </c>
      <c r="G34" s="266" t="str">
        <f>DOLLAR(ROUNDUP(+INT(D34*($E$29)/E34),-1),0)</f>
        <v>$220</v>
      </c>
      <c r="H34" s="267" t="s">
        <v>11</v>
      </c>
      <c r="I34" s="268" t="str">
        <f>DOLLAR(D34-(E34*G34),0)</f>
        <v>$1,720</v>
      </c>
      <c r="J34" s="264">
        <f>E34</f>
        <v>18</v>
      </c>
      <c r="K34" s="265" t="s">
        <v>10</v>
      </c>
      <c r="L34" s="266" t="str">
        <f>DOLLAR(ROUNDUP(+INT(D34*($J$29)/E34),-1),0)</f>
        <v>$160</v>
      </c>
      <c r="M34" s="267" t="s">
        <v>11</v>
      </c>
      <c r="N34" s="269" t="str">
        <f>DOLLAR($D34-(J34*L34),0)</f>
        <v>$2,800</v>
      </c>
      <c r="O34" s="264" t="str">
        <f>DOLLAR(ROUNDUP((I34+2*G34)*0.45,-2)-25,0)</f>
        <v>$975</v>
      </c>
      <c r="P34" s="267" t="s">
        <v>12</v>
      </c>
      <c r="Q34" s="265" t="str">
        <f>DOLLAR(ROUNDUP((I34+2*G34)*0.35,-2)-75,0)</f>
        <v>$725</v>
      </c>
      <c r="R34" s="267" t="s">
        <v>12</v>
      </c>
      <c r="S34" s="265" t="str">
        <f>DOLLAR(I34+2*G34-O34-Q34,0)</f>
        <v>$460</v>
      </c>
      <c r="T34" s="267" t="s">
        <v>11</v>
      </c>
      <c r="U34" s="270" t="str">
        <f>G34</f>
        <v>$220</v>
      </c>
      <c r="V34" s="265" t="str">
        <f>F34</f>
        <v>x</v>
      </c>
      <c r="W34" s="269">
        <f>ABS(E34-2)</f>
        <v>16</v>
      </c>
      <c r="X34" s="221">
        <f>$D34-ROUNDDOWN($D34*$X$2,0)</f>
        <v>5396</v>
      </c>
      <c r="Y34" s="230">
        <f>D34-X34</f>
        <v>284</v>
      </c>
      <c r="Z34" s="221">
        <f>$D34-ROUNDDOWN($D34*$Z$2,0)</f>
        <v>5567</v>
      </c>
      <c r="AA34" s="271">
        <f>D34-Z34</f>
        <v>113</v>
      </c>
      <c r="AB34" s="141"/>
      <c r="AC34" s="130"/>
      <c r="AD34" s="127"/>
      <c r="AE34" s="142"/>
      <c r="AF34" s="142"/>
      <c r="AG34" s="117"/>
      <c r="AH34" s="325"/>
    </row>
    <row r="35" spans="1:34" ht="13.5" customHeight="1" thickBot="1">
      <c r="A35" s="36" t="s">
        <v>45</v>
      </c>
      <c r="B35" s="37"/>
      <c r="C35" s="272" t="s">
        <v>77</v>
      </c>
      <c r="D35" s="273">
        <f>D9-$AC$29</f>
        <v>6030</v>
      </c>
      <c r="E35" s="274">
        <v>24</v>
      </c>
      <c r="F35" s="255" t="s">
        <v>10</v>
      </c>
      <c r="G35" s="250" t="str">
        <f>DOLLAR(ROUNDUP(+INT(D35*($E$29)/E35),-1),0)</f>
        <v>$180</v>
      </c>
      <c r="H35" s="275" t="s">
        <v>11</v>
      </c>
      <c r="I35" s="276" t="str">
        <f>DOLLAR(D35-(E35*G35),0)</f>
        <v>$1,710</v>
      </c>
      <c r="J35" s="274">
        <f>E35</f>
        <v>24</v>
      </c>
      <c r="K35" s="255" t="s">
        <v>10</v>
      </c>
      <c r="L35" s="250" t="str">
        <f>DOLLAR(ROUNDUP(+INT(D35*($J$29)/E35),-1),0)</f>
        <v>$130</v>
      </c>
      <c r="M35" s="275" t="s">
        <v>11</v>
      </c>
      <c r="N35" s="277" t="str">
        <f>DOLLAR($D35-(J35*L35),0)</f>
        <v>$2,910</v>
      </c>
      <c r="O35" s="274" t="str">
        <f>DOLLAR(ROUNDUP((I35+2*G35)*0.45,-2)-25,0)</f>
        <v>$975</v>
      </c>
      <c r="P35" s="275" t="s">
        <v>12</v>
      </c>
      <c r="Q35" s="255" t="str">
        <f>DOLLAR(ROUNDUP((I35+2*G35)*0.35,-2)-75,0)</f>
        <v>$725</v>
      </c>
      <c r="R35" s="275" t="s">
        <v>12</v>
      </c>
      <c r="S35" s="255" t="str">
        <f>DOLLAR(I35+2*G35-O35-Q35,0)</f>
        <v>$370</v>
      </c>
      <c r="T35" s="275" t="s">
        <v>11</v>
      </c>
      <c r="U35" s="278" t="str">
        <f>G35</f>
        <v>$180</v>
      </c>
      <c r="V35" s="255" t="str">
        <f>F35</f>
        <v>x</v>
      </c>
      <c r="W35" s="277">
        <f>ABS(E35-2)</f>
        <v>22</v>
      </c>
      <c r="X35" s="247">
        <f>$D35-ROUNDDOWN($D35*$X$2,0)</f>
        <v>5729</v>
      </c>
      <c r="Y35" s="257">
        <f>D35-X35</f>
        <v>301</v>
      </c>
      <c r="Z35" s="247">
        <f>$D35-ROUNDDOWN($D35*$Z$2,0)</f>
        <v>5910</v>
      </c>
      <c r="AA35" s="279">
        <f>D35-Z35</f>
        <v>120</v>
      </c>
      <c r="AB35" s="141"/>
      <c r="AC35" s="130"/>
      <c r="AD35" s="127"/>
      <c r="AE35" s="142"/>
      <c r="AF35" s="142"/>
      <c r="AG35" s="117"/>
      <c r="AH35" s="325"/>
    </row>
    <row r="36" spans="1:34" ht="14.25" thickBot="1">
      <c r="A36" s="36" t="s">
        <v>46</v>
      </c>
      <c r="B36" s="37"/>
      <c r="C36" s="62"/>
      <c r="D36" s="62"/>
      <c r="E36" s="63"/>
      <c r="F36" s="62"/>
      <c r="G36" s="62"/>
      <c r="H36" s="62"/>
      <c r="I36" s="319"/>
      <c r="J36" s="63"/>
      <c r="K36" s="62"/>
      <c r="L36" s="62"/>
      <c r="M36" s="62"/>
      <c r="N36" s="82"/>
      <c r="O36" s="63"/>
      <c r="P36" s="62"/>
      <c r="Q36" s="62"/>
      <c r="R36" s="62"/>
      <c r="S36" s="62"/>
      <c r="T36" s="62"/>
      <c r="U36" s="63"/>
      <c r="V36" s="320"/>
      <c r="W36" s="82"/>
      <c r="X36" s="69"/>
      <c r="Y36" s="70"/>
      <c r="Z36" s="321"/>
      <c r="AA36" s="322"/>
      <c r="AB36" s="141"/>
      <c r="AC36" s="130"/>
      <c r="AD36" s="127"/>
      <c r="AE36" s="142"/>
      <c r="AF36" s="142"/>
      <c r="AG36" s="117"/>
      <c r="AH36" s="325"/>
    </row>
    <row r="37" spans="1:34" ht="19.5" thickBot="1">
      <c r="A37" s="172"/>
      <c r="B37" s="37"/>
      <c r="C37" s="332" t="s">
        <v>216</v>
      </c>
      <c r="D37" s="5"/>
      <c r="E37" s="5"/>
      <c r="F37" s="5"/>
      <c r="G37" s="5"/>
      <c r="H37" s="5"/>
      <c r="I37" s="310"/>
      <c r="J37" s="8"/>
      <c r="K37" s="5"/>
      <c r="L37" s="5"/>
      <c r="M37" s="5"/>
      <c r="N37" s="323"/>
      <c r="O37" s="312"/>
      <c r="P37" s="313"/>
      <c r="Q37" s="12" t="s">
        <v>49</v>
      </c>
      <c r="R37" s="313"/>
      <c r="S37" s="394">
        <f>ROUNDDOWN(D44/AC3,1)-0.05</f>
        <v>7.8500000000000005</v>
      </c>
      <c r="T37" s="394"/>
      <c r="U37" s="394"/>
      <c r="V37" s="5"/>
      <c r="W37" s="5"/>
      <c r="X37" s="13">
        <f>$X$2</f>
        <v>0.05</v>
      </c>
      <c r="Y37" s="13"/>
      <c r="Z37" s="13">
        <f>$Z$2</f>
        <v>0.02</v>
      </c>
      <c r="AA37" s="14"/>
      <c r="AB37" s="143"/>
      <c r="AC37" s="116" t="s">
        <v>135</v>
      </c>
      <c r="AD37" s="117"/>
      <c r="AE37" s="117"/>
      <c r="AF37" s="117"/>
      <c r="AG37" s="117"/>
      <c r="AH37" s="325"/>
    </row>
    <row r="38" spans="1:34" ht="15.75">
      <c r="A38" s="171"/>
      <c r="B38" s="73"/>
      <c r="C38" s="314" t="s">
        <v>97</v>
      </c>
      <c r="D38" s="315" t="s">
        <v>0</v>
      </c>
      <c r="E38" s="316">
        <v>0.7</v>
      </c>
      <c r="F38" s="317"/>
      <c r="G38" s="512" t="s">
        <v>50</v>
      </c>
      <c r="H38" s="512"/>
      <c r="I38" s="513"/>
      <c r="J38" s="316">
        <v>0.5</v>
      </c>
      <c r="K38" s="318"/>
      <c r="L38" s="514" t="s">
        <v>51</v>
      </c>
      <c r="M38" s="514"/>
      <c r="N38" s="515"/>
      <c r="O38" s="395" t="s">
        <v>52</v>
      </c>
      <c r="P38" s="396"/>
      <c r="Q38" s="396"/>
      <c r="R38" s="396"/>
      <c r="S38" s="396"/>
      <c r="T38" s="396"/>
      <c r="U38" s="396"/>
      <c r="V38" s="396"/>
      <c r="W38" s="397"/>
      <c r="X38" s="382" t="str">
        <f>$X$3</f>
        <v>Full Payment Plans</v>
      </c>
      <c r="Y38" s="383"/>
      <c r="Z38" s="383"/>
      <c r="AA38" s="384"/>
      <c r="AB38" s="133"/>
      <c r="AC38" s="175">
        <v>300</v>
      </c>
      <c r="AD38" s="176" t="s">
        <v>133</v>
      </c>
      <c r="AE38" s="120"/>
      <c r="AF38" s="120"/>
      <c r="AG38" s="120"/>
      <c r="AH38" s="325" t="s">
        <v>168</v>
      </c>
    </row>
    <row r="39" spans="1:34" ht="22.5">
      <c r="A39" s="45"/>
      <c r="B39" s="45"/>
      <c r="C39" s="23" t="s">
        <v>1</v>
      </c>
      <c r="D39" s="24" t="s">
        <v>2</v>
      </c>
      <c r="E39" s="25" t="s">
        <v>54</v>
      </c>
      <c r="F39" s="26"/>
      <c r="G39" s="26"/>
      <c r="H39" s="26"/>
      <c r="I39" s="27" t="s">
        <v>3</v>
      </c>
      <c r="J39" s="25" t="s">
        <v>55</v>
      </c>
      <c r="K39" s="26"/>
      <c r="L39" s="26"/>
      <c r="M39" s="26"/>
      <c r="N39" s="28" t="s">
        <v>3</v>
      </c>
      <c r="O39" s="29" t="s">
        <v>4</v>
      </c>
      <c r="P39" s="30"/>
      <c r="Q39" s="30" t="s">
        <v>5</v>
      </c>
      <c r="R39" s="30"/>
      <c r="S39" s="30" t="s">
        <v>6</v>
      </c>
      <c r="T39" s="30"/>
      <c r="U39" s="30" t="s">
        <v>7</v>
      </c>
      <c r="V39" s="30"/>
      <c r="W39" s="31" t="s">
        <v>8</v>
      </c>
      <c r="X39" s="32" t="s">
        <v>62</v>
      </c>
      <c r="Y39" s="33" t="s">
        <v>57</v>
      </c>
      <c r="Z39" s="34" t="s">
        <v>58</v>
      </c>
      <c r="AA39" s="35" t="s">
        <v>57</v>
      </c>
      <c r="AB39" s="134"/>
      <c r="AC39" s="121" t="s">
        <v>143</v>
      </c>
      <c r="AD39" s="122"/>
      <c r="AE39" s="122"/>
      <c r="AF39" s="122"/>
      <c r="AG39" s="117"/>
      <c r="AH39" s="325"/>
    </row>
    <row r="40" spans="1:34" ht="13.5" customHeight="1">
      <c r="A40" s="45"/>
      <c r="B40" s="45"/>
      <c r="C40" s="220" t="s">
        <v>17</v>
      </c>
      <c r="D40" s="221">
        <f>D44-2*$AC$40</f>
        <v>5230</v>
      </c>
      <c r="E40" s="222">
        <v>12</v>
      </c>
      <c r="F40" s="223" t="s">
        <v>10</v>
      </c>
      <c r="G40" s="224" t="str">
        <f aca="true" t="shared" si="26" ref="G40:G47">DOLLAR(ROUNDUP(+INT(D40*($E$38)/E40),-1),0)</f>
        <v>$310</v>
      </c>
      <c r="H40" s="225" t="s">
        <v>11</v>
      </c>
      <c r="I40" s="226" t="str">
        <f aca="true" t="shared" si="27" ref="I40:I47">DOLLAR(D40-(E40*G40),0)</f>
        <v>$1,510</v>
      </c>
      <c r="J40" s="227">
        <f aca="true" t="shared" si="28" ref="J40:J47">E40</f>
        <v>12</v>
      </c>
      <c r="K40" s="223" t="s">
        <v>10</v>
      </c>
      <c r="L40" s="224" t="str">
        <f aca="true" t="shared" si="29" ref="L40:L47">DOLLAR(ROUNDUP(+INT(D40*($J$38)/E40),-1),0)</f>
        <v>$220</v>
      </c>
      <c r="M40" s="225" t="s">
        <v>11</v>
      </c>
      <c r="N40" s="228" t="str">
        <f aca="true" t="shared" si="30" ref="N40:N47">DOLLAR($D40-(J40*L40),0)</f>
        <v>$2,590</v>
      </c>
      <c r="O40" s="222" t="str">
        <f aca="true" t="shared" si="31" ref="O40:O47">DOLLAR(ROUNDUP((I40+2*G40)*0.45,-2)-25,0)</f>
        <v>$975</v>
      </c>
      <c r="P40" s="225" t="s">
        <v>12</v>
      </c>
      <c r="Q40" s="223" t="str">
        <f>DOLLAR(ROUNDUP((I40+2*G40)*0.35,-2)-75,0)</f>
        <v>$725</v>
      </c>
      <c r="R40" s="225" t="s">
        <v>12</v>
      </c>
      <c r="S40" s="223" t="str">
        <f aca="true" t="shared" si="32" ref="S40:S47">DOLLAR(I40+2*G40-O40-Q40,0)</f>
        <v>$430</v>
      </c>
      <c r="T40" s="225" t="s">
        <v>11</v>
      </c>
      <c r="U40" s="227" t="str">
        <f aca="true" t="shared" si="33" ref="U40:U47">G40</f>
        <v>$310</v>
      </c>
      <c r="V40" s="223" t="str">
        <f aca="true" t="shared" si="34" ref="V40:V47">F40</f>
        <v>x</v>
      </c>
      <c r="W40" s="229">
        <f aca="true" t="shared" si="35" ref="W40:W47">ABS(E40-2)</f>
        <v>10</v>
      </c>
      <c r="X40" s="221">
        <f aca="true" t="shared" si="36" ref="X40:X47">$D40-ROUNDDOWN($D40*$X$37,0)</f>
        <v>4969</v>
      </c>
      <c r="Y40" s="230">
        <f aca="true" t="shared" si="37" ref="Y40:Y47">D40-X40</f>
        <v>261</v>
      </c>
      <c r="Z40" s="231">
        <f aca="true" t="shared" si="38" ref="Z40:Z47">$D40-ROUNDDOWN($D40*$Z$2,0)</f>
        <v>5126</v>
      </c>
      <c r="AA40" s="232">
        <f aca="true" t="shared" si="39" ref="AA40:AA47">D40-Z40</f>
        <v>104</v>
      </c>
      <c r="AB40" s="125"/>
      <c r="AC40" s="174">
        <f>ROUND(D44*0.12,-2)-50</f>
        <v>750</v>
      </c>
      <c r="AD40" s="156" t="s">
        <v>174</v>
      </c>
      <c r="AE40" s="122"/>
      <c r="AF40" s="122"/>
      <c r="AG40" s="117"/>
      <c r="AH40" s="325" t="s">
        <v>200</v>
      </c>
    </row>
    <row r="41" spans="1:34" ht="13.5" customHeight="1">
      <c r="A41" s="45"/>
      <c r="B41" s="45"/>
      <c r="C41" s="220" t="s">
        <v>78</v>
      </c>
      <c r="D41" s="221">
        <f>D44-$AC$40-ROUNDDOWN(0.5*$AC$40,-2)</f>
        <v>5680</v>
      </c>
      <c r="E41" s="222">
        <v>15</v>
      </c>
      <c r="F41" s="223" t="s">
        <v>10</v>
      </c>
      <c r="G41" s="224" t="str">
        <f t="shared" si="26"/>
        <v>$270</v>
      </c>
      <c r="H41" s="225" t="s">
        <v>11</v>
      </c>
      <c r="I41" s="226" t="str">
        <f t="shared" si="27"/>
        <v>$1,630</v>
      </c>
      <c r="J41" s="227">
        <f t="shared" si="28"/>
        <v>15</v>
      </c>
      <c r="K41" s="223" t="s">
        <v>10</v>
      </c>
      <c r="L41" s="224" t="str">
        <f t="shared" si="29"/>
        <v>$190</v>
      </c>
      <c r="M41" s="225" t="s">
        <v>11</v>
      </c>
      <c r="N41" s="228" t="str">
        <f t="shared" si="30"/>
        <v>$2,830</v>
      </c>
      <c r="O41" s="222" t="str">
        <f t="shared" si="31"/>
        <v>$975</v>
      </c>
      <c r="P41" s="225" t="s">
        <v>12</v>
      </c>
      <c r="Q41" s="223" t="str">
        <f>DOLLAR(ROUNDUP((I41+2*G41)*0.35,-2)-75,0)</f>
        <v>$725</v>
      </c>
      <c r="R41" s="225" t="s">
        <v>12</v>
      </c>
      <c r="S41" s="223" t="str">
        <f t="shared" si="32"/>
        <v>$470</v>
      </c>
      <c r="T41" s="225" t="s">
        <v>11</v>
      </c>
      <c r="U41" s="227" t="str">
        <f t="shared" si="33"/>
        <v>$270</v>
      </c>
      <c r="V41" s="223" t="str">
        <f t="shared" si="34"/>
        <v>x</v>
      </c>
      <c r="W41" s="229">
        <f t="shared" si="35"/>
        <v>13</v>
      </c>
      <c r="X41" s="221">
        <f t="shared" si="36"/>
        <v>5396</v>
      </c>
      <c r="Y41" s="230">
        <f t="shared" si="37"/>
        <v>284</v>
      </c>
      <c r="Z41" s="231">
        <f t="shared" si="38"/>
        <v>5567</v>
      </c>
      <c r="AA41" s="232">
        <f t="shared" si="39"/>
        <v>113</v>
      </c>
      <c r="AB41" s="125"/>
      <c r="AC41" s="126" t="s">
        <v>121</v>
      </c>
      <c r="AD41" s="127"/>
      <c r="AE41" s="129"/>
      <c r="AF41" s="129"/>
      <c r="AG41" s="117"/>
      <c r="AH41" s="325"/>
    </row>
    <row r="42" spans="1:34" ht="13.5" customHeight="1">
      <c r="A42" s="45"/>
      <c r="B42" s="45"/>
      <c r="C42" s="220" t="s">
        <v>18</v>
      </c>
      <c r="D42" s="221">
        <f>D44-$AC$40</f>
        <v>5980</v>
      </c>
      <c r="E42" s="222">
        <v>18</v>
      </c>
      <c r="F42" s="223" t="s">
        <v>10</v>
      </c>
      <c r="G42" s="224" t="str">
        <f t="shared" si="26"/>
        <v>$240</v>
      </c>
      <c r="H42" s="225" t="s">
        <v>11</v>
      </c>
      <c r="I42" s="226" t="str">
        <f t="shared" si="27"/>
        <v>$1,660</v>
      </c>
      <c r="J42" s="227">
        <f t="shared" si="28"/>
        <v>18</v>
      </c>
      <c r="K42" s="223" t="s">
        <v>10</v>
      </c>
      <c r="L42" s="224" t="str">
        <f t="shared" si="29"/>
        <v>$170</v>
      </c>
      <c r="M42" s="225" t="s">
        <v>11</v>
      </c>
      <c r="N42" s="228" t="str">
        <f t="shared" si="30"/>
        <v>$2,920</v>
      </c>
      <c r="O42" s="222" t="str">
        <f t="shared" si="31"/>
        <v>$975</v>
      </c>
      <c r="P42" s="225" t="s">
        <v>12</v>
      </c>
      <c r="Q42" s="223" t="str">
        <f>DOLLAR(ROUNDUP((I42+2*G42)*0.35,-2)-75,0)</f>
        <v>$725</v>
      </c>
      <c r="R42" s="225" t="s">
        <v>12</v>
      </c>
      <c r="S42" s="223" t="str">
        <f t="shared" si="32"/>
        <v>$440</v>
      </c>
      <c r="T42" s="225" t="s">
        <v>11</v>
      </c>
      <c r="U42" s="227" t="str">
        <f t="shared" si="33"/>
        <v>$240</v>
      </c>
      <c r="V42" s="223" t="str">
        <f t="shared" si="34"/>
        <v>x</v>
      </c>
      <c r="W42" s="229">
        <f t="shared" si="35"/>
        <v>16</v>
      </c>
      <c r="X42" s="221">
        <f t="shared" si="36"/>
        <v>5681</v>
      </c>
      <c r="Y42" s="230">
        <f t="shared" si="37"/>
        <v>299</v>
      </c>
      <c r="Z42" s="231">
        <f t="shared" si="38"/>
        <v>5861</v>
      </c>
      <c r="AA42" s="232">
        <f t="shared" si="39"/>
        <v>119</v>
      </c>
      <c r="AB42" s="125"/>
      <c r="AC42" s="130"/>
      <c r="AD42" s="127"/>
      <c r="AE42" s="129"/>
      <c r="AF42" s="129"/>
      <c r="AG42" s="117"/>
      <c r="AH42" s="325"/>
    </row>
    <row r="43" spans="1:34" ht="13.5" customHeight="1">
      <c r="A43" s="45"/>
      <c r="B43" s="45"/>
      <c r="C43" s="220" t="s">
        <v>79</v>
      </c>
      <c r="D43" s="221">
        <f>D44-ROUNDUP(0.5*$AC$40,-2)+50</f>
        <v>6380</v>
      </c>
      <c r="E43" s="222">
        <v>21</v>
      </c>
      <c r="F43" s="223" t="s">
        <v>10</v>
      </c>
      <c r="G43" s="224" t="str">
        <f>DOLLAR(ROUNDUP(+INT(D43*($E$38)/E43),-1),0)</f>
        <v>$220</v>
      </c>
      <c r="H43" s="225" t="s">
        <v>11</v>
      </c>
      <c r="I43" s="226" t="str">
        <f>DOLLAR(D43-(E43*G43),0)</f>
        <v>$1,760</v>
      </c>
      <c r="J43" s="227">
        <f>E43</f>
        <v>21</v>
      </c>
      <c r="K43" s="223" t="s">
        <v>10</v>
      </c>
      <c r="L43" s="224" t="str">
        <f>DOLLAR(ROUNDUP(+INT(D43*($J$38)/E43),-1),0)</f>
        <v>$160</v>
      </c>
      <c r="M43" s="225" t="s">
        <v>11</v>
      </c>
      <c r="N43" s="228" t="str">
        <f>DOLLAR($D43-(J43*L43),0)</f>
        <v>$3,020</v>
      </c>
      <c r="O43" s="222" t="str">
        <f>DOLLAR(ROUNDUP((I43+2*G43)*0.45,-2)-25,0)</f>
        <v>$975</v>
      </c>
      <c r="P43" s="225" t="s">
        <v>12</v>
      </c>
      <c r="Q43" s="223" t="str">
        <f>DOLLAR(ROUNDUP((I43+2*G43)*0.35,-2)-75,0)</f>
        <v>$725</v>
      </c>
      <c r="R43" s="225" t="s">
        <v>12</v>
      </c>
      <c r="S43" s="223" t="str">
        <f>DOLLAR(I43+2*G43-O43-Q43,0)</f>
        <v>$500</v>
      </c>
      <c r="T43" s="225" t="s">
        <v>11</v>
      </c>
      <c r="U43" s="227" t="str">
        <f>G43</f>
        <v>$220</v>
      </c>
      <c r="V43" s="223" t="str">
        <f>F43</f>
        <v>x</v>
      </c>
      <c r="W43" s="229">
        <f>ABS(E43-2)</f>
        <v>19</v>
      </c>
      <c r="X43" s="221">
        <f t="shared" si="36"/>
        <v>6061</v>
      </c>
      <c r="Y43" s="230">
        <f t="shared" si="37"/>
        <v>319</v>
      </c>
      <c r="Z43" s="231">
        <f t="shared" si="38"/>
        <v>6253</v>
      </c>
      <c r="AA43" s="232">
        <f t="shared" si="39"/>
        <v>127</v>
      </c>
      <c r="AB43" s="125"/>
      <c r="AC43" s="130"/>
      <c r="AD43" s="127"/>
      <c r="AE43" s="129"/>
      <c r="AF43" s="129"/>
      <c r="AG43" s="117"/>
      <c r="AH43" s="325"/>
    </row>
    <row r="44" spans="1:34" ht="13.5" customHeight="1">
      <c r="A44" s="45"/>
      <c r="B44" s="45"/>
      <c r="C44" s="233" t="s">
        <v>19</v>
      </c>
      <c r="D44" s="234">
        <f>D9+AC38</f>
        <v>6730</v>
      </c>
      <c r="E44" s="235">
        <v>24</v>
      </c>
      <c r="F44" s="236" t="s">
        <v>10</v>
      </c>
      <c r="G44" s="237" t="str">
        <f t="shared" si="26"/>
        <v>$200</v>
      </c>
      <c r="H44" s="238" t="s">
        <v>11</v>
      </c>
      <c r="I44" s="239" t="str">
        <f t="shared" si="27"/>
        <v>$1,930</v>
      </c>
      <c r="J44" s="240">
        <f t="shared" si="28"/>
        <v>24</v>
      </c>
      <c r="K44" s="236" t="s">
        <v>10</v>
      </c>
      <c r="L44" s="237" t="str">
        <f t="shared" si="29"/>
        <v>$140</v>
      </c>
      <c r="M44" s="238" t="s">
        <v>11</v>
      </c>
      <c r="N44" s="241" t="str">
        <f t="shared" si="30"/>
        <v>$3,370</v>
      </c>
      <c r="O44" s="235" t="str">
        <f t="shared" si="31"/>
        <v>$1,075</v>
      </c>
      <c r="P44" s="238" t="s">
        <v>12</v>
      </c>
      <c r="Q44" s="236" t="str">
        <f>DOLLAR(ROUNDUP((I44+2*G44)*0.35,-2)-75,0)</f>
        <v>$825</v>
      </c>
      <c r="R44" s="238" t="s">
        <v>12</v>
      </c>
      <c r="S44" s="236" t="str">
        <f t="shared" si="32"/>
        <v>$430</v>
      </c>
      <c r="T44" s="238" t="s">
        <v>11</v>
      </c>
      <c r="U44" s="240" t="str">
        <f t="shared" si="33"/>
        <v>$200</v>
      </c>
      <c r="V44" s="236" t="str">
        <f t="shared" si="34"/>
        <v>x</v>
      </c>
      <c r="W44" s="242">
        <f t="shared" si="35"/>
        <v>22</v>
      </c>
      <c r="X44" s="234">
        <f t="shared" si="36"/>
        <v>6394</v>
      </c>
      <c r="Y44" s="243">
        <f t="shared" si="37"/>
        <v>336</v>
      </c>
      <c r="Z44" s="244">
        <f t="shared" si="38"/>
        <v>6596</v>
      </c>
      <c r="AA44" s="245">
        <f t="shared" si="39"/>
        <v>134</v>
      </c>
      <c r="AB44" s="125"/>
      <c r="AC44" s="130"/>
      <c r="AD44" s="127"/>
      <c r="AE44" s="129"/>
      <c r="AF44" s="129"/>
      <c r="AG44" s="117"/>
      <c r="AH44" s="325"/>
    </row>
    <row r="45" spans="1:34" ht="13.5" customHeight="1">
      <c r="A45" s="45"/>
      <c r="B45" s="45"/>
      <c r="C45" s="220" t="s">
        <v>80</v>
      </c>
      <c r="D45" s="221">
        <f>D44+ROUNDDOWN(0.5*$AC$40,-2)+50</f>
        <v>7080</v>
      </c>
      <c r="E45" s="222">
        <v>27</v>
      </c>
      <c r="F45" s="223" t="s">
        <v>10</v>
      </c>
      <c r="G45" s="224" t="str">
        <f t="shared" si="26"/>
        <v>$190</v>
      </c>
      <c r="H45" s="225" t="s">
        <v>11</v>
      </c>
      <c r="I45" s="226" t="str">
        <f>DOLLAR(D45-(E45*G45),0)</f>
        <v>$1,950</v>
      </c>
      <c r="J45" s="227">
        <f>E45</f>
        <v>27</v>
      </c>
      <c r="K45" s="223" t="s">
        <v>10</v>
      </c>
      <c r="L45" s="224" t="str">
        <f t="shared" si="29"/>
        <v>$140</v>
      </c>
      <c r="M45" s="225" t="s">
        <v>11</v>
      </c>
      <c r="N45" s="228" t="str">
        <f>DOLLAR($D45-(J45*L45),0)</f>
        <v>$3,300</v>
      </c>
      <c r="O45" s="222" t="str">
        <f>DOLLAR(ROUNDUP((I45+2*G45)*0.45,-2)-25,0)</f>
        <v>$1,075</v>
      </c>
      <c r="P45" s="225" t="s">
        <v>12</v>
      </c>
      <c r="Q45" s="223" t="str">
        <f>DOLLAR(ROUNDUP((I45+2*G45)*0.35,-2)-100,0)</f>
        <v>$800</v>
      </c>
      <c r="R45" s="225" t="s">
        <v>12</v>
      </c>
      <c r="S45" s="223" t="str">
        <f>DOLLAR(I45+2*G45-O45-Q45,0)</f>
        <v>$455</v>
      </c>
      <c r="T45" s="225" t="s">
        <v>11</v>
      </c>
      <c r="U45" s="227" t="str">
        <f>G45</f>
        <v>$190</v>
      </c>
      <c r="V45" s="223" t="str">
        <f>F45</f>
        <v>x</v>
      </c>
      <c r="W45" s="229">
        <f>ABS(E45-2)</f>
        <v>25</v>
      </c>
      <c r="X45" s="221">
        <f t="shared" si="36"/>
        <v>6726</v>
      </c>
      <c r="Y45" s="230">
        <f t="shared" si="37"/>
        <v>354</v>
      </c>
      <c r="Z45" s="231">
        <f t="shared" si="38"/>
        <v>6939</v>
      </c>
      <c r="AA45" s="232">
        <f t="shared" si="39"/>
        <v>141</v>
      </c>
      <c r="AB45" s="125"/>
      <c r="AC45" s="130"/>
      <c r="AD45" s="127"/>
      <c r="AE45" s="129"/>
      <c r="AF45" s="129"/>
      <c r="AG45" s="117"/>
      <c r="AH45" s="325"/>
    </row>
    <row r="46" spans="3:34" ht="13.5" customHeight="1">
      <c r="C46" s="220" t="s">
        <v>20</v>
      </c>
      <c r="D46" s="221">
        <f>D44+$AC$40</f>
        <v>7480</v>
      </c>
      <c r="E46" s="222">
        <v>30</v>
      </c>
      <c r="F46" s="223" t="s">
        <v>10</v>
      </c>
      <c r="G46" s="224" t="str">
        <f t="shared" si="26"/>
        <v>$180</v>
      </c>
      <c r="H46" s="225" t="s">
        <v>11</v>
      </c>
      <c r="I46" s="226" t="str">
        <f t="shared" si="27"/>
        <v>$2,080</v>
      </c>
      <c r="J46" s="227">
        <f t="shared" si="28"/>
        <v>30</v>
      </c>
      <c r="K46" s="223" t="s">
        <v>10</v>
      </c>
      <c r="L46" s="224" t="str">
        <f t="shared" si="29"/>
        <v>$130</v>
      </c>
      <c r="M46" s="225" t="s">
        <v>11</v>
      </c>
      <c r="N46" s="228" t="str">
        <f t="shared" si="30"/>
        <v>$3,580</v>
      </c>
      <c r="O46" s="222" t="str">
        <f t="shared" si="31"/>
        <v>$1,075</v>
      </c>
      <c r="P46" s="225" t="s">
        <v>12</v>
      </c>
      <c r="Q46" s="223" t="str">
        <f>DOLLAR(ROUNDUP((I46+2*G46)*0.35,-2)-75,0)</f>
        <v>$825</v>
      </c>
      <c r="R46" s="225" t="s">
        <v>12</v>
      </c>
      <c r="S46" s="223" t="str">
        <f t="shared" si="32"/>
        <v>$540</v>
      </c>
      <c r="T46" s="225" t="s">
        <v>11</v>
      </c>
      <c r="U46" s="227" t="str">
        <f t="shared" si="33"/>
        <v>$180</v>
      </c>
      <c r="V46" s="223" t="str">
        <f t="shared" si="34"/>
        <v>x</v>
      </c>
      <c r="W46" s="229">
        <f t="shared" si="35"/>
        <v>28</v>
      </c>
      <c r="X46" s="221">
        <f t="shared" si="36"/>
        <v>7106</v>
      </c>
      <c r="Y46" s="230">
        <f t="shared" si="37"/>
        <v>374</v>
      </c>
      <c r="Z46" s="231">
        <f t="shared" si="38"/>
        <v>7331</v>
      </c>
      <c r="AA46" s="232">
        <f t="shared" si="39"/>
        <v>149</v>
      </c>
      <c r="AB46" s="125"/>
      <c r="AC46" s="130"/>
      <c r="AD46" s="127"/>
      <c r="AE46" s="129"/>
      <c r="AF46" s="129"/>
      <c r="AG46" s="117"/>
      <c r="AH46" s="325"/>
    </row>
    <row r="47" spans="3:34" ht="13.5" customHeight="1" thickBot="1">
      <c r="C47" s="246" t="s">
        <v>21</v>
      </c>
      <c r="D47" s="247">
        <f>D44+2*$AC$40</f>
        <v>8230</v>
      </c>
      <c r="E47" s="248">
        <v>36</v>
      </c>
      <c r="F47" s="249" t="s">
        <v>10</v>
      </c>
      <c r="G47" s="250" t="str">
        <f t="shared" si="26"/>
        <v>$160</v>
      </c>
      <c r="H47" s="251" t="s">
        <v>11</v>
      </c>
      <c r="I47" s="252" t="str">
        <f t="shared" si="27"/>
        <v>$2,470</v>
      </c>
      <c r="J47" s="253">
        <f t="shared" si="28"/>
        <v>36</v>
      </c>
      <c r="K47" s="249" t="s">
        <v>10</v>
      </c>
      <c r="L47" s="250" t="str">
        <f t="shared" si="29"/>
        <v>$120</v>
      </c>
      <c r="M47" s="251" t="s">
        <v>11</v>
      </c>
      <c r="N47" s="254" t="str">
        <f t="shared" si="30"/>
        <v>$3,910</v>
      </c>
      <c r="O47" s="248" t="str">
        <f t="shared" si="31"/>
        <v>$1,275</v>
      </c>
      <c r="P47" s="251" t="s">
        <v>12</v>
      </c>
      <c r="Q47" s="255" t="str">
        <f>DOLLAR(ROUNDUP((I47+2*G47)*0.35,-2)-100,0)</f>
        <v>$900</v>
      </c>
      <c r="R47" s="251" t="s">
        <v>12</v>
      </c>
      <c r="S47" s="249" t="str">
        <f t="shared" si="32"/>
        <v>$615</v>
      </c>
      <c r="T47" s="251" t="s">
        <v>11</v>
      </c>
      <c r="U47" s="253" t="str">
        <f t="shared" si="33"/>
        <v>$160</v>
      </c>
      <c r="V47" s="249" t="str">
        <f t="shared" si="34"/>
        <v>x</v>
      </c>
      <c r="W47" s="256">
        <f t="shared" si="35"/>
        <v>34</v>
      </c>
      <c r="X47" s="247">
        <f t="shared" si="36"/>
        <v>7819</v>
      </c>
      <c r="Y47" s="257">
        <f t="shared" si="37"/>
        <v>411</v>
      </c>
      <c r="Z47" s="258">
        <f t="shared" si="38"/>
        <v>8066</v>
      </c>
      <c r="AA47" s="259">
        <f t="shared" si="39"/>
        <v>164</v>
      </c>
      <c r="AB47" s="125"/>
      <c r="AC47" s="492" t="s">
        <v>123</v>
      </c>
      <c r="AD47" s="493"/>
      <c r="AE47" s="494"/>
      <c r="AF47" s="129"/>
      <c r="AG47" s="117"/>
      <c r="AH47" s="325"/>
    </row>
    <row r="48" spans="3:34" ht="13.5" thickBot="1">
      <c r="C48" s="46"/>
      <c r="D48" s="74"/>
      <c r="E48" s="75"/>
      <c r="F48" s="76"/>
      <c r="G48" s="77"/>
      <c r="H48" s="78"/>
      <c r="I48" s="51"/>
      <c r="J48" s="75"/>
      <c r="K48" s="76"/>
      <c r="L48" s="77"/>
      <c r="M48" s="78"/>
      <c r="N48" s="79"/>
      <c r="O48" s="75"/>
      <c r="P48" s="78"/>
      <c r="Q48" s="76"/>
      <c r="R48" s="78"/>
      <c r="S48" s="76"/>
      <c r="T48" s="78"/>
      <c r="U48" s="75"/>
      <c r="V48" s="76"/>
      <c r="W48" s="79"/>
      <c r="X48" s="38"/>
      <c r="Y48" s="38"/>
      <c r="Z48" s="38"/>
      <c r="AA48" s="56"/>
      <c r="AB48" s="125"/>
      <c r="AC48" s="495" t="s">
        <v>118</v>
      </c>
      <c r="AD48" s="413"/>
      <c r="AE48" s="496"/>
      <c r="AF48" s="129"/>
      <c r="AG48" s="117"/>
      <c r="AH48" s="325"/>
    </row>
    <row r="49" spans="1:34" ht="19.5" thickBot="1">
      <c r="A49" s="332" t="s">
        <v>23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3"/>
      <c r="AB49" s="125"/>
      <c r="AC49" s="509" t="s">
        <v>124</v>
      </c>
      <c r="AD49" s="416"/>
      <c r="AE49" s="137" t="s">
        <v>205</v>
      </c>
      <c r="AF49" s="129"/>
      <c r="AG49" s="117"/>
      <c r="AH49" s="325"/>
    </row>
    <row r="50" spans="1:34" ht="13.5" customHeight="1">
      <c r="A50" s="417" t="s">
        <v>24</v>
      </c>
      <c r="B50" s="418"/>
      <c r="C50" s="418"/>
      <c r="D50" s="419"/>
      <c r="E50" s="420">
        <f>AC50</f>
        <v>1880</v>
      </c>
      <c r="F50" s="421"/>
      <c r="G50" s="421"/>
      <c r="H50" s="94"/>
      <c r="I50" s="95" t="s">
        <v>81</v>
      </c>
      <c r="J50" s="422">
        <f>E50-O50*S50</f>
        <v>920</v>
      </c>
      <c r="K50" s="422"/>
      <c r="L50" s="422"/>
      <c r="M50" s="423" t="s">
        <v>82</v>
      </c>
      <c r="N50" s="423"/>
      <c r="O50" s="424" t="str">
        <f>DOLLAR(ROUNDUP(+INT(E50*(0.5)/S50),-1),0)</f>
        <v>$160</v>
      </c>
      <c r="P50" s="424"/>
      <c r="Q50" s="425" t="s">
        <v>83</v>
      </c>
      <c r="R50" s="425"/>
      <c r="S50" s="96">
        <f>AE50</f>
        <v>6</v>
      </c>
      <c r="T50" s="422" t="s">
        <v>84</v>
      </c>
      <c r="U50" s="422"/>
      <c r="V50" s="94"/>
      <c r="W50" s="423" t="s">
        <v>85</v>
      </c>
      <c r="X50" s="423"/>
      <c r="Y50" s="94">
        <v>0</v>
      </c>
      <c r="Z50" s="94"/>
      <c r="AA50" s="97"/>
      <c r="AB50" s="143"/>
      <c r="AC50" s="510">
        <v>1880</v>
      </c>
      <c r="AD50" s="511"/>
      <c r="AE50" s="329">
        <v>6</v>
      </c>
      <c r="AF50" s="117"/>
      <c r="AG50" s="117"/>
      <c r="AH50" s="325" t="s">
        <v>169</v>
      </c>
    </row>
    <row r="51" spans="1:34" ht="13.5" customHeight="1">
      <c r="A51" s="428" t="s">
        <v>86</v>
      </c>
      <c r="B51" s="429"/>
      <c r="C51" s="429"/>
      <c r="D51" s="430"/>
      <c r="E51" s="431">
        <f>ROUND(0.22*$D$9,-1)</f>
        <v>1410</v>
      </c>
      <c r="F51" s="432"/>
      <c r="G51" s="432"/>
      <c r="H51" s="98" t="s">
        <v>11</v>
      </c>
      <c r="I51" s="206">
        <f>ROUND(0.02*$D$9,-1)</f>
        <v>130</v>
      </c>
      <c r="J51" s="433" t="s">
        <v>87</v>
      </c>
      <c r="K51" s="433"/>
      <c r="L51" s="433"/>
      <c r="M51" s="98" t="s">
        <v>11</v>
      </c>
      <c r="N51" s="207">
        <f>ROUND(15*$S$2,-1)</f>
        <v>110</v>
      </c>
      <c r="O51" s="433" t="s">
        <v>88</v>
      </c>
      <c r="P51" s="433"/>
      <c r="Q51" s="433"/>
      <c r="R51" s="433"/>
      <c r="S51" s="433"/>
      <c r="T51" s="98" t="s">
        <v>11</v>
      </c>
      <c r="U51" s="100" t="s">
        <v>89</v>
      </c>
      <c r="V51" s="100"/>
      <c r="W51" s="100"/>
      <c r="X51" s="100"/>
      <c r="Y51" s="100"/>
      <c r="Z51" s="100"/>
      <c r="AA51" s="101"/>
      <c r="AB51" s="144"/>
      <c r="AC51" s="124"/>
      <c r="AD51" s="117"/>
      <c r="AE51" s="117"/>
      <c r="AF51" s="117"/>
      <c r="AG51" s="117"/>
      <c r="AH51" s="325"/>
    </row>
    <row r="52" spans="1:34" ht="13.5" customHeight="1">
      <c r="A52" s="428" t="s">
        <v>90</v>
      </c>
      <c r="B52" s="429"/>
      <c r="C52" s="429"/>
      <c r="D52" s="430"/>
      <c r="E52" s="431">
        <f>ROUND(0.22*$D$9,-1)</f>
        <v>1410</v>
      </c>
      <c r="F52" s="432"/>
      <c r="G52" s="432"/>
      <c r="H52" s="98" t="s">
        <v>11</v>
      </c>
      <c r="I52" s="206">
        <f>I51</f>
        <v>130</v>
      </c>
      <c r="J52" s="433" t="s">
        <v>87</v>
      </c>
      <c r="K52" s="433"/>
      <c r="L52" s="433"/>
      <c r="M52" s="98" t="s">
        <v>11</v>
      </c>
      <c r="N52" s="207">
        <f>N51</f>
        <v>110</v>
      </c>
      <c r="O52" s="433" t="s">
        <v>88</v>
      </c>
      <c r="P52" s="433"/>
      <c r="Q52" s="433"/>
      <c r="R52" s="433"/>
      <c r="S52" s="433"/>
      <c r="T52" s="98" t="s">
        <v>91</v>
      </c>
      <c r="U52" s="207">
        <f>N52</f>
        <v>110</v>
      </c>
      <c r="V52" s="102" t="s">
        <v>92</v>
      </c>
      <c r="W52" s="102"/>
      <c r="X52" s="102"/>
      <c r="Y52" s="102"/>
      <c r="Z52" s="102"/>
      <c r="AA52" s="103"/>
      <c r="AB52" s="146"/>
      <c r="AC52" s="434" t="s">
        <v>132</v>
      </c>
      <c r="AD52" s="435"/>
      <c r="AE52" s="436"/>
      <c r="AF52" s="117"/>
      <c r="AG52" s="117"/>
      <c r="AH52" s="325"/>
    </row>
    <row r="53" spans="1:34" ht="13.5" customHeight="1">
      <c r="A53" s="428" t="s">
        <v>93</v>
      </c>
      <c r="B53" s="429"/>
      <c r="C53" s="429"/>
      <c r="D53" s="430"/>
      <c r="E53" s="431">
        <f>AC53</f>
        <v>600</v>
      </c>
      <c r="F53" s="432"/>
      <c r="G53" s="432"/>
      <c r="H53" s="163" t="s">
        <v>131</v>
      </c>
      <c r="I53" s="105"/>
      <c r="J53" s="104"/>
      <c r="K53" s="104"/>
      <c r="L53" s="104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7"/>
      <c r="Z53" s="106"/>
      <c r="AA53" s="108"/>
      <c r="AB53" s="146"/>
      <c r="AC53" s="437">
        <v>600</v>
      </c>
      <c r="AD53" s="438"/>
      <c r="AE53" s="439"/>
      <c r="AF53" s="117"/>
      <c r="AG53" s="117"/>
      <c r="AH53" s="325" t="s">
        <v>170</v>
      </c>
    </row>
    <row r="54" spans="1:34" ht="13.5" customHeight="1" thickBot="1">
      <c r="A54" s="440" t="s">
        <v>94</v>
      </c>
      <c r="B54" s="441"/>
      <c r="C54" s="441"/>
      <c r="D54" s="442"/>
      <c r="E54" s="109" t="s">
        <v>95</v>
      </c>
      <c r="F54" s="110"/>
      <c r="G54" s="110"/>
      <c r="H54" s="110"/>
      <c r="I54" s="111"/>
      <c r="J54" s="110"/>
      <c r="K54" s="110"/>
      <c r="L54" s="110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3"/>
      <c r="Z54" s="112"/>
      <c r="AA54" s="114"/>
      <c r="AB54" s="147"/>
      <c r="AC54" s="148"/>
      <c r="AD54" s="117"/>
      <c r="AE54" s="117"/>
      <c r="AF54" s="117"/>
      <c r="AG54" s="117"/>
      <c r="AH54" s="325"/>
    </row>
    <row r="55" spans="1:34" ht="15" customHeight="1">
      <c r="A55" s="443" t="s">
        <v>96</v>
      </c>
      <c r="B55" s="164"/>
      <c r="C55" s="183" t="s">
        <v>145</v>
      </c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6"/>
      <c r="AB55" s="147"/>
      <c r="AC55" s="188"/>
      <c r="AD55" s="189"/>
      <c r="AE55" s="189"/>
      <c r="AF55" s="189"/>
      <c r="AG55" s="117"/>
      <c r="AH55" s="325"/>
    </row>
    <row r="56" spans="1:34" ht="15" customHeight="1">
      <c r="A56" s="444"/>
      <c r="B56" s="184"/>
      <c r="C56" s="185" t="s">
        <v>146</v>
      </c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8"/>
      <c r="AB56" s="147"/>
      <c r="AC56" s="188"/>
      <c r="AD56" s="446" t="s">
        <v>148</v>
      </c>
      <c r="AE56" s="446"/>
      <c r="AF56" s="446"/>
      <c r="AG56" s="446"/>
      <c r="AH56" s="325" t="s">
        <v>171</v>
      </c>
    </row>
    <row r="57" spans="1:34" ht="15" customHeight="1" thickBot="1">
      <c r="A57" s="445"/>
      <c r="B57" s="186"/>
      <c r="C57" s="187" t="s">
        <v>147</v>
      </c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70"/>
      <c r="AB57" s="147"/>
      <c r="AC57" s="188"/>
      <c r="AD57" s="446"/>
      <c r="AE57" s="446"/>
      <c r="AF57" s="446"/>
      <c r="AG57" s="446"/>
      <c r="AH57" s="325"/>
    </row>
    <row r="58" spans="1:34" ht="13.5" customHeight="1">
      <c r="A58" s="150"/>
      <c r="B58" s="447" t="s">
        <v>125</v>
      </c>
      <c r="C58" s="447"/>
      <c r="D58" s="447"/>
      <c r="E58" s="447"/>
      <c r="F58" s="447"/>
      <c r="G58" s="447"/>
      <c r="H58" s="447"/>
      <c r="I58" s="447"/>
      <c r="J58" s="447"/>
      <c r="K58" s="447"/>
      <c r="L58" s="449" t="s">
        <v>97</v>
      </c>
      <c r="M58" s="451" t="s">
        <v>98</v>
      </c>
      <c r="N58" s="452"/>
      <c r="O58" s="451" t="s">
        <v>99</v>
      </c>
      <c r="P58" s="455"/>
      <c r="Q58" s="457" t="s">
        <v>100</v>
      </c>
      <c r="R58" s="458"/>
      <c r="S58" s="458"/>
      <c r="T58" s="458"/>
      <c r="U58" s="458"/>
      <c r="V58" s="458"/>
      <c r="W58" s="458"/>
      <c r="X58" s="458"/>
      <c r="Y58" s="458"/>
      <c r="Z58" s="458"/>
      <c r="AA58" s="459"/>
      <c r="AB58" s="147"/>
      <c r="AC58" s="188"/>
      <c r="AD58" s="446"/>
      <c r="AE58" s="446"/>
      <c r="AF58" s="446"/>
      <c r="AG58" s="446"/>
      <c r="AH58" s="325"/>
    </row>
    <row r="59" spans="1:34" ht="13.5" customHeight="1">
      <c r="A59" s="333" t="s">
        <v>97</v>
      </c>
      <c r="B59" s="448"/>
      <c r="C59" s="448"/>
      <c r="D59" s="448"/>
      <c r="E59" s="448"/>
      <c r="F59" s="448"/>
      <c r="G59" s="448"/>
      <c r="H59" s="448"/>
      <c r="I59" s="448"/>
      <c r="J59" s="448"/>
      <c r="K59" s="448"/>
      <c r="L59" s="450"/>
      <c r="M59" s="453"/>
      <c r="N59" s="454"/>
      <c r="O59" s="453"/>
      <c r="P59" s="456"/>
      <c r="Q59" s="460" t="s">
        <v>101</v>
      </c>
      <c r="R59" s="461"/>
      <c r="S59" s="461"/>
      <c r="T59" s="461"/>
      <c r="U59" s="461"/>
      <c r="V59" s="461"/>
      <c r="W59" s="461"/>
      <c r="X59" s="461"/>
      <c r="Y59" s="461"/>
      <c r="Z59" s="461"/>
      <c r="AA59" s="462"/>
      <c r="AB59" s="147"/>
      <c r="AC59" s="188"/>
      <c r="AD59" s="446"/>
      <c r="AE59" s="446"/>
      <c r="AF59" s="446"/>
      <c r="AG59" s="446"/>
      <c r="AH59" s="325"/>
    </row>
    <row r="60" spans="1:34" ht="13.5" customHeight="1">
      <c r="A60" s="333" t="s">
        <v>102</v>
      </c>
      <c r="B60" s="463" t="s">
        <v>103</v>
      </c>
      <c r="C60" s="463"/>
      <c r="D60" s="463"/>
      <c r="E60" s="463"/>
      <c r="F60" s="463"/>
      <c r="G60" s="463"/>
      <c r="H60" s="463"/>
      <c r="I60" s="463"/>
      <c r="J60" s="463"/>
      <c r="K60" s="463"/>
      <c r="L60" s="450"/>
      <c r="M60" s="453"/>
      <c r="N60" s="454"/>
      <c r="O60" s="453"/>
      <c r="P60" s="456"/>
      <c r="Q60" s="464" t="s">
        <v>104</v>
      </c>
      <c r="R60" s="465"/>
      <c r="S60" s="465"/>
      <c r="T60" s="466" t="s">
        <v>105</v>
      </c>
      <c r="U60" s="466"/>
      <c r="V60" s="466"/>
      <c r="W60" s="467"/>
      <c r="X60" s="468" t="s">
        <v>106</v>
      </c>
      <c r="Y60" s="469"/>
      <c r="Z60" s="470" t="s">
        <v>107</v>
      </c>
      <c r="AA60" s="471"/>
      <c r="AB60" s="147"/>
      <c r="AC60" s="188"/>
      <c r="AD60" s="446"/>
      <c r="AE60" s="446"/>
      <c r="AF60" s="446"/>
      <c r="AG60" s="446"/>
      <c r="AH60" s="325"/>
    </row>
    <row r="61" spans="1:34" ht="13.5" customHeight="1">
      <c r="A61" s="333" t="s">
        <v>108</v>
      </c>
      <c r="B61" s="474" t="s">
        <v>126</v>
      </c>
      <c r="C61" s="475"/>
      <c r="D61" s="475"/>
      <c r="E61" s="476"/>
      <c r="F61" s="477" t="s">
        <v>109</v>
      </c>
      <c r="G61" s="478"/>
      <c r="H61" s="478"/>
      <c r="I61" s="478"/>
      <c r="J61" s="478"/>
      <c r="K61" s="478"/>
      <c r="L61" s="152" t="s">
        <v>110</v>
      </c>
      <c r="M61" s="479">
        <v>100</v>
      </c>
      <c r="N61" s="480"/>
      <c r="O61" s="479">
        <v>100</v>
      </c>
      <c r="P61" s="481"/>
      <c r="Q61" s="484" t="s">
        <v>111</v>
      </c>
      <c r="R61" s="485"/>
      <c r="S61" s="485"/>
      <c r="T61" s="485" t="s">
        <v>112</v>
      </c>
      <c r="U61" s="485"/>
      <c r="V61" s="485"/>
      <c r="W61" s="486"/>
      <c r="X61" s="487">
        <v>200</v>
      </c>
      <c r="Y61" s="488"/>
      <c r="Z61" s="472">
        <v>200</v>
      </c>
      <c r="AA61" s="473"/>
      <c r="AB61" s="147"/>
      <c r="AC61" s="188"/>
      <c r="AD61" s="446"/>
      <c r="AE61" s="446"/>
      <c r="AF61" s="446"/>
      <c r="AG61" s="446"/>
      <c r="AH61" s="325"/>
    </row>
    <row r="62" spans="1:34" ht="13.5" customHeight="1" thickBot="1">
      <c r="A62" s="151"/>
      <c r="B62" s="482" t="s">
        <v>113</v>
      </c>
      <c r="C62" s="482"/>
      <c r="D62" s="482"/>
      <c r="E62" s="483"/>
      <c r="F62" s="364" t="s">
        <v>114</v>
      </c>
      <c r="G62" s="365"/>
      <c r="H62" s="365"/>
      <c r="I62" s="365"/>
      <c r="J62" s="365"/>
      <c r="K62" s="365"/>
      <c r="L62" s="153" t="s">
        <v>115</v>
      </c>
      <c r="M62" s="366">
        <v>0</v>
      </c>
      <c r="N62" s="367"/>
      <c r="O62" s="366">
        <v>0</v>
      </c>
      <c r="P62" s="368"/>
      <c r="Q62" s="369" t="s">
        <v>116</v>
      </c>
      <c r="R62" s="370"/>
      <c r="S62" s="370"/>
      <c r="T62" s="370" t="s">
        <v>112</v>
      </c>
      <c r="U62" s="370"/>
      <c r="V62" s="370"/>
      <c r="W62" s="489"/>
      <c r="X62" s="490">
        <v>100</v>
      </c>
      <c r="Y62" s="491"/>
      <c r="Z62" s="362">
        <v>100</v>
      </c>
      <c r="AA62" s="363"/>
      <c r="AB62" s="149"/>
      <c r="AC62" s="122"/>
      <c r="AD62" s="122"/>
      <c r="AE62" s="122"/>
      <c r="AF62" s="122"/>
      <c r="AG62" s="117"/>
      <c r="AH62" s="325"/>
    </row>
  </sheetData>
  <mergeCells count="90">
    <mergeCell ref="S2:U2"/>
    <mergeCell ref="G3:I3"/>
    <mergeCell ref="L3:N3"/>
    <mergeCell ref="O3:W3"/>
    <mergeCell ref="X3:AA3"/>
    <mergeCell ref="S14:U14"/>
    <mergeCell ref="G15:I15"/>
    <mergeCell ref="L15:N15"/>
    <mergeCell ref="O15:W16"/>
    <mergeCell ref="X15:AA15"/>
    <mergeCell ref="S28:U28"/>
    <mergeCell ref="G29:I29"/>
    <mergeCell ref="L29:N29"/>
    <mergeCell ref="O29:W29"/>
    <mergeCell ref="G38:I38"/>
    <mergeCell ref="L38:N38"/>
    <mergeCell ref="O38:W38"/>
    <mergeCell ref="X38:AA38"/>
    <mergeCell ref="Q50:R50"/>
    <mergeCell ref="T50:U50"/>
    <mergeCell ref="W50:X50"/>
    <mergeCell ref="X29:AA29"/>
    <mergeCell ref="S37:U37"/>
    <mergeCell ref="E50:G50"/>
    <mergeCell ref="J50:L50"/>
    <mergeCell ref="M50:N50"/>
    <mergeCell ref="O50:P50"/>
    <mergeCell ref="E52:G52"/>
    <mergeCell ref="J52:L52"/>
    <mergeCell ref="O52:S52"/>
    <mergeCell ref="E51:G51"/>
    <mergeCell ref="J51:L51"/>
    <mergeCell ref="O51:S51"/>
    <mergeCell ref="L58:L60"/>
    <mergeCell ref="M58:N60"/>
    <mergeCell ref="O58:P60"/>
    <mergeCell ref="A55:A57"/>
    <mergeCell ref="M61:N61"/>
    <mergeCell ref="O61:P61"/>
    <mergeCell ref="Q58:AA58"/>
    <mergeCell ref="Q59:AA59"/>
    <mergeCell ref="Q60:S60"/>
    <mergeCell ref="T60:W60"/>
    <mergeCell ref="X60:Y60"/>
    <mergeCell ref="Z60:AA60"/>
    <mergeCell ref="Q61:S61"/>
    <mergeCell ref="T61:W61"/>
    <mergeCell ref="X61:Y61"/>
    <mergeCell ref="Z61:AA61"/>
    <mergeCell ref="AC9:AF10"/>
    <mergeCell ref="AD56:AG61"/>
    <mergeCell ref="AC49:AD49"/>
    <mergeCell ref="AC50:AD50"/>
    <mergeCell ref="AC53:AE53"/>
    <mergeCell ref="AC52:AE52"/>
    <mergeCell ref="B62:E62"/>
    <mergeCell ref="Q62:S62"/>
    <mergeCell ref="T62:W62"/>
    <mergeCell ref="X62:Y62"/>
    <mergeCell ref="Z62:AA62"/>
    <mergeCell ref="F62:K62"/>
    <mergeCell ref="M62:N62"/>
    <mergeCell ref="O62:P62"/>
    <mergeCell ref="E53:G53"/>
    <mergeCell ref="B58:K59"/>
    <mergeCell ref="B60:K60"/>
    <mergeCell ref="B61:E61"/>
    <mergeCell ref="F61:K61"/>
    <mergeCell ref="A51:D51"/>
    <mergeCell ref="A52:D52"/>
    <mergeCell ref="A53:D53"/>
    <mergeCell ref="A54:D54"/>
    <mergeCell ref="O24:W24"/>
    <mergeCell ref="O25:W25"/>
    <mergeCell ref="O26:W26"/>
    <mergeCell ref="O17:W17"/>
    <mergeCell ref="O20:W20"/>
    <mergeCell ref="O21:W21"/>
    <mergeCell ref="O22:W22"/>
    <mergeCell ref="O23:W23"/>
    <mergeCell ref="A1:AA1"/>
    <mergeCell ref="A50:D50"/>
    <mergeCell ref="AC47:AE47"/>
    <mergeCell ref="AC48:AE48"/>
    <mergeCell ref="AC1:AG1"/>
    <mergeCell ref="AC29:AD29"/>
    <mergeCell ref="AC15:AF16"/>
    <mergeCell ref="AC11:AF11"/>
    <mergeCell ref="O18:W18"/>
    <mergeCell ref="O19:W19"/>
  </mergeCells>
  <printOptions horizontalCentered="1" verticalCentered="1"/>
  <pageMargins left="0.34" right="0.28" top="0" bottom="0" header="0" footer="0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Bio-Engineering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Dean C. Bellavia</dc:creator>
  <cp:keywords/>
  <dc:description/>
  <cp:lastModifiedBy>Dr. Dean C. Bellavia</cp:lastModifiedBy>
  <cp:lastPrinted>2005-08-13T20:53:49Z</cp:lastPrinted>
  <dcterms:created xsi:type="dcterms:W3CDTF">1996-10-11T12:59:57Z</dcterms:created>
  <dcterms:modified xsi:type="dcterms:W3CDTF">2022-04-29T14:37:17Z</dcterms:modified>
  <cp:category/>
  <cp:version/>
  <cp:contentType/>
  <cp:contentStatus/>
</cp:coreProperties>
</file>